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6124FCBD-E306-49D3-A22A-6BB58C174AB2}" xr6:coauthVersionLast="45" xr6:coauthVersionMax="45" xr10:uidLastSave="{00000000-0000-0000-0000-000000000000}"/>
  <bookViews>
    <workbookView xWindow="0" yWindow="144" windowWidth="19716" windowHeight="12216" activeTab="2" xr2:uid="{BF59C7AA-1A17-4656-9FB1-F98FFF514DA9}"/>
  </bookViews>
  <sheets>
    <sheet name="利回り" sheetId="1" r:id="rId1"/>
    <sheet name="年推移" sheetId="2" r:id="rId2"/>
    <sheet name="ローン計算" sheetId="3" r:id="rId3"/>
    <sheet name="IRR計算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 s="1"/>
  <c r="D18" i="1" l="1"/>
  <c r="E3" i="2" l="1"/>
  <c r="A29" i="2"/>
  <c r="B29" i="2"/>
  <c r="D21" i="1" l="1"/>
  <c r="D22" i="1" s="1"/>
  <c r="F7" i="4" l="1"/>
  <c r="E7" i="4"/>
  <c r="E3" i="4"/>
  <c r="E2" i="2" l="1"/>
  <c r="C9" i="1" l="1"/>
  <c r="C11" i="1" s="1"/>
  <c r="F3" i="1" s="1"/>
  <c r="H3" i="1" s="1"/>
  <c r="C5" i="1"/>
  <c r="C6" i="1" s="1"/>
  <c r="L8" i="2"/>
  <c r="F8" i="1" l="1"/>
  <c r="C13" i="1"/>
  <c r="C14" i="1" s="1"/>
  <c r="C15" i="1" s="1"/>
  <c r="B15" i="2"/>
  <c r="A12" i="2"/>
  <c r="A13" i="2"/>
  <c r="A14" i="2"/>
  <c r="A15" i="2"/>
  <c r="B4" i="3"/>
  <c r="B3" i="3"/>
  <c r="D25" i="3" s="1"/>
  <c r="B1" i="3"/>
  <c r="D373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18" i="3"/>
  <c r="D344" i="3" l="1"/>
  <c r="D330" i="3"/>
  <c r="D365" i="3"/>
  <c r="D312" i="3"/>
  <c r="D352" i="3"/>
  <c r="D362" i="3"/>
  <c r="D341" i="3"/>
  <c r="D301" i="3"/>
  <c r="D376" i="3"/>
  <c r="D354" i="3"/>
  <c r="D333" i="3"/>
  <c r="D322" i="3"/>
  <c r="D290" i="3"/>
  <c r="D320" i="3"/>
  <c r="D280" i="3"/>
  <c r="D309" i="3"/>
  <c r="D277" i="3"/>
  <c r="D298" i="3"/>
  <c r="D256" i="3"/>
  <c r="D288" i="3"/>
  <c r="D237" i="3"/>
  <c r="D234" i="3"/>
  <c r="D258" i="3"/>
  <c r="D269" i="3"/>
  <c r="D248" i="3"/>
  <c r="D226" i="3"/>
  <c r="D266" i="3"/>
  <c r="D245" i="3"/>
  <c r="D221" i="3"/>
  <c r="D370" i="3"/>
  <c r="D360" i="3"/>
  <c r="D349" i="3"/>
  <c r="D338" i="3"/>
  <c r="D328" i="3"/>
  <c r="D317" i="3"/>
  <c r="D306" i="3"/>
  <c r="D296" i="3"/>
  <c r="D285" i="3"/>
  <c r="D274" i="3"/>
  <c r="D264" i="3"/>
  <c r="D253" i="3"/>
  <c r="D242" i="3"/>
  <c r="D232" i="3"/>
  <c r="D216" i="3"/>
  <c r="D368" i="3"/>
  <c r="D357" i="3"/>
  <c r="D346" i="3"/>
  <c r="D336" i="3"/>
  <c r="D325" i="3"/>
  <c r="D314" i="3"/>
  <c r="D304" i="3"/>
  <c r="D293" i="3"/>
  <c r="D282" i="3"/>
  <c r="D272" i="3"/>
  <c r="D261" i="3"/>
  <c r="D250" i="3"/>
  <c r="D240" i="3"/>
  <c r="D229" i="3"/>
  <c r="D200" i="3"/>
  <c r="D192" i="3"/>
  <c r="D218" i="3"/>
  <c r="D224" i="3"/>
  <c r="D213" i="3"/>
  <c r="D184" i="3"/>
  <c r="D210" i="3"/>
  <c r="D202" i="3"/>
  <c r="D208" i="3"/>
  <c r="D197" i="3"/>
  <c r="D170" i="3"/>
  <c r="D205" i="3"/>
  <c r="D194" i="3"/>
  <c r="D157" i="3"/>
  <c r="D186" i="3"/>
  <c r="D181" i="3"/>
  <c r="D146" i="3"/>
  <c r="D189" i="3"/>
  <c r="D173" i="3"/>
  <c r="D178" i="3"/>
  <c r="D168" i="3"/>
  <c r="D137" i="3"/>
  <c r="D176" i="3"/>
  <c r="D160" i="3"/>
  <c r="D165" i="3"/>
  <c r="D154" i="3"/>
  <c r="D134" i="3"/>
  <c r="D162" i="3"/>
  <c r="D149" i="3"/>
  <c r="F18" i="3"/>
  <c r="D144" i="3"/>
  <c r="D128" i="3"/>
  <c r="D152" i="3"/>
  <c r="D141" i="3"/>
  <c r="D377" i="3"/>
  <c r="D372" i="3"/>
  <c r="D366" i="3"/>
  <c r="D361" i="3"/>
  <c r="D356" i="3"/>
  <c r="D350" i="3"/>
  <c r="D345" i="3"/>
  <c r="D340" i="3"/>
  <c r="D334" i="3"/>
  <c r="D329" i="3"/>
  <c r="D324" i="3"/>
  <c r="D318" i="3"/>
  <c r="D313" i="3"/>
  <c r="D308" i="3"/>
  <c r="D302" i="3"/>
  <c r="D297" i="3"/>
  <c r="D292" i="3"/>
  <c r="D286" i="3"/>
  <c r="D281" i="3"/>
  <c r="D276" i="3"/>
  <c r="D270" i="3"/>
  <c r="D265" i="3"/>
  <c r="D260" i="3"/>
  <c r="D254" i="3"/>
  <c r="D249" i="3"/>
  <c r="D244" i="3"/>
  <c r="D238" i="3"/>
  <c r="D233" i="3"/>
  <c r="D228" i="3"/>
  <c r="D222" i="3"/>
  <c r="D217" i="3"/>
  <c r="D212" i="3"/>
  <c r="D206" i="3"/>
  <c r="D201" i="3"/>
  <c r="D196" i="3"/>
  <c r="D190" i="3"/>
  <c r="D185" i="3"/>
  <c r="D180" i="3"/>
  <c r="D174" i="3"/>
  <c r="D169" i="3"/>
  <c r="D164" i="3"/>
  <c r="D158" i="3"/>
  <c r="D153" i="3"/>
  <c r="D148" i="3"/>
  <c r="D142" i="3"/>
  <c r="D136" i="3"/>
  <c r="D112" i="3"/>
  <c r="D100" i="3"/>
  <c r="D374" i="3"/>
  <c r="D369" i="3"/>
  <c r="D364" i="3"/>
  <c r="D358" i="3"/>
  <c r="D353" i="3"/>
  <c r="D348" i="3"/>
  <c r="D342" i="3"/>
  <c r="D337" i="3"/>
  <c r="D332" i="3"/>
  <c r="D326" i="3"/>
  <c r="D321" i="3"/>
  <c r="D316" i="3"/>
  <c r="D310" i="3"/>
  <c r="D305" i="3"/>
  <c r="D300" i="3"/>
  <c r="D294" i="3"/>
  <c r="D289" i="3"/>
  <c r="D284" i="3"/>
  <c r="D278" i="3"/>
  <c r="D273" i="3"/>
  <c r="D268" i="3"/>
  <c r="D262" i="3"/>
  <c r="D257" i="3"/>
  <c r="D252" i="3"/>
  <c r="D246" i="3"/>
  <c r="D241" i="3"/>
  <c r="D236" i="3"/>
  <c r="D230" i="3"/>
  <c r="D225" i="3"/>
  <c r="D220" i="3"/>
  <c r="D214" i="3"/>
  <c r="D209" i="3"/>
  <c r="D204" i="3"/>
  <c r="D198" i="3"/>
  <c r="D193" i="3"/>
  <c r="D188" i="3"/>
  <c r="D182" i="3"/>
  <c r="D177" i="3"/>
  <c r="D172" i="3"/>
  <c r="D166" i="3"/>
  <c r="D161" i="3"/>
  <c r="D156" i="3"/>
  <c r="D150" i="3"/>
  <c r="D145" i="3"/>
  <c r="D140" i="3"/>
  <c r="D129" i="3"/>
  <c r="D138" i="3"/>
  <c r="D133" i="3"/>
  <c r="D124" i="3"/>
  <c r="D81" i="3"/>
  <c r="D132" i="3"/>
  <c r="D121" i="3"/>
  <c r="D122" i="3"/>
  <c r="D104" i="3"/>
  <c r="D64" i="3"/>
  <c r="D49" i="3"/>
  <c r="D126" i="3"/>
  <c r="D113" i="3"/>
  <c r="D89" i="3"/>
  <c r="D80" i="3"/>
  <c r="D37" i="3"/>
  <c r="D92" i="3"/>
  <c r="D72" i="3"/>
  <c r="D130" i="3"/>
  <c r="D125" i="3"/>
  <c r="D120" i="3"/>
  <c r="D108" i="3"/>
  <c r="D97" i="3"/>
  <c r="D88" i="3"/>
  <c r="D76" i="3"/>
  <c r="D60" i="3"/>
  <c r="D32" i="3"/>
  <c r="D116" i="3"/>
  <c r="D105" i="3"/>
  <c r="D96" i="3"/>
  <c r="D84" i="3"/>
  <c r="D73" i="3"/>
  <c r="D52" i="3"/>
  <c r="D68" i="3"/>
  <c r="D57" i="3"/>
  <c r="D48" i="3"/>
  <c r="D24" i="3"/>
  <c r="D65" i="3"/>
  <c r="D56" i="3"/>
  <c r="D40" i="3"/>
  <c r="D375" i="3"/>
  <c r="D371" i="3"/>
  <c r="D367" i="3"/>
  <c r="D363" i="3"/>
  <c r="D359" i="3"/>
  <c r="D355" i="3"/>
  <c r="D351" i="3"/>
  <c r="D347" i="3"/>
  <c r="D343" i="3"/>
  <c r="D339" i="3"/>
  <c r="D335" i="3"/>
  <c r="D331" i="3"/>
  <c r="D327" i="3"/>
  <c r="D323" i="3"/>
  <c r="D319" i="3"/>
  <c r="D315" i="3"/>
  <c r="D311" i="3"/>
  <c r="D307" i="3"/>
  <c r="D303" i="3"/>
  <c r="D299" i="3"/>
  <c r="D295" i="3"/>
  <c r="D291" i="3"/>
  <c r="D287" i="3"/>
  <c r="D283" i="3"/>
  <c r="D279" i="3"/>
  <c r="D275" i="3"/>
  <c r="D271" i="3"/>
  <c r="D267" i="3"/>
  <c r="D263" i="3"/>
  <c r="D259" i="3"/>
  <c r="D255" i="3"/>
  <c r="D251" i="3"/>
  <c r="D247" i="3"/>
  <c r="D243" i="3"/>
  <c r="D239" i="3"/>
  <c r="D235" i="3"/>
  <c r="D231" i="3"/>
  <c r="D227" i="3"/>
  <c r="D223" i="3"/>
  <c r="D219" i="3"/>
  <c r="D215" i="3"/>
  <c r="D211" i="3"/>
  <c r="D207" i="3"/>
  <c r="D203" i="3"/>
  <c r="D199" i="3"/>
  <c r="D195" i="3"/>
  <c r="D191" i="3"/>
  <c r="D187" i="3"/>
  <c r="D183" i="3"/>
  <c r="D179" i="3"/>
  <c r="D175" i="3"/>
  <c r="D171" i="3"/>
  <c r="D167" i="3"/>
  <c r="D163" i="3"/>
  <c r="D159" i="3"/>
  <c r="D155" i="3"/>
  <c r="D151" i="3"/>
  <c r="D147" i="3"/>
  <c r="D143" i="3"/>
  <c r="D139" i="3"/>
  <c r="D135" i="3"/>
  <c r="D131" i="3"/>
  <c r="D127" i="3"/>
  <c r="D123" i="3"/>
  <c r="D117" i="3"/>
  <c r="D109" i="3"/>
  <c r="D101" i="3"/>
  <c r="D93" i="3"/>
  <c r="D85" i="3"/>
  <c r="D77" i="3"/>
  <c r="D69" i="3"/>
  <c r="D61" i="3"/>
  <c r="D53" i="3"/>
  <c r="D45" i="3"/>
  <c r="D29" i="3"/>
  <c r="D21" i="3"/>
  <c r="D44" i="3"/>
  <c r="D36" i="3"/>
  <c r="D28" i="3"/>
  <c r="D20" i="3"/>
  <c r="D41" i="3"/>
  <c r="D33" i="3"/>
  <c r="D119" i="3"/>
  <c r="D115" i="3"/>
  <c r="D111" i="3"/>
  <c r="D107" i="3"/>
  <c r="D103" i="3"/>
  <c r="D99" i="3"/>
  <c r="D95" i="3"/>
  <c r="D91" i="3"/>
  <c r="D87" i="3"/>
  <c r="D83" i="3"/>
  <c r="D79" i="3"/>
  <c r="D75" i="3"/>
  <c r="D71" i="3"/>
  <c r="D67" i="3"/>
  <c r="D63" i="3"/>
  <c r="D59" i="3"/>
  <c r="D55" i="3"/>
  <c r="D51" i="3"/>
  <c r="D47" i="3"/>
  <c r="D43" i="3"/>
  <c r="D39" i="3"/>
  <c r="D35" i="3"/>
  <c r="D31" i="3"/>
  <c r="D27" i="3"/>
  <c r="D23" i="3"/>
  <c r="D19" i="3"/>
  <c r="D118" i="3"/>
  <c r="D114" i="3"/>
  <c r="D110" i="3"/>
  <c r="D106" i="3"/>
  <c r="D102" i="3"/>
  <c r="D98" i="3"/>
  <c r="D94" i="3"/>
  <c r="D90" i="3"/>
  <c r="D86" i="3"/>
  <c r="D82" i="3"/>
  <c r="D78" i="3"/>
  <c r="D74" i="3"/>
  <c r="D70" i="3"/>
  <c r="D66" i="3"/>
  <c r="D62" i="3"/>
  <c r="D58" i="3"/>
  <c r="D54" i="3"/>
  <c r="D50" i="3"/>
  <c r="D46" i="3"/>
  <c r="D42" i="3"/>
  <c r="D38" i="3"/>
  <c r="D34" i="3"/>
  <c r="D30" i="3"/>
  <c r="D26" i="3"/>
  <c r="D22" i="3"/>
  <c r="D18" i="3"/>
  <c r="C18" i="3" s="1"/>
  <c r="C19" i="3" s="1"/>
  <c r="B5" i="3"/>
  <c r="B6" i="3" s="1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B24" i="2"/>
  <c r="B25" i="2"/>
  <c r="C20" i="3" l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C155" i="3" s="1"/>
  <c r="C156" i="3" s="1"/>
  <c r="C157" i="3" s="1"/>
  <c r="C158" i="3" s="1"/>
  <c r="C159" i="3" s="1"/>
  <c r="C160" i="3" s="1"/>
  <c r="C161" i="3" s="1"/>
  <c r="C162" i="3" s="1"/>
  <c r="C163" i="3" s="1"/>
  <c r="C164" i="3" s="1"/>
  <c r="C165" i="3" s="1"/>
  <c r="C166" i="3" s="1"/>
  <c r="C167" i="3" s="1"/>
  <c r="C168" i="3" s="1"/>
  <c r="C169" i="3" s="1"/>
  <c r="C170" i="3" s="1"/>
  <c r="C171" i="3" s="1"/>
  <c r="C172" i="3" s="1"/>
  <c r="C173" i="3" s="1"/>
  <c r="C174" i="3" s="1"/>
  <c r="C175" i="3" s="1"/>
  <c r="C176" i="3" s="1"/>
  <c r="C177" i="3" s="1"/>
  <c r="C178" i="3" s="1"/>
  <c r="C179" i="3" s="1"/>
  <c r="C180" i="3" s="1"/>
  <c r="C181" i="3" s="1"/>
  <c r="C182" i="3" s="1"/>
  <c r="C183" i="3" s="1"/>
  <c r="C184" i="3" s="1"/>
  <c r="C185" i="3" s="1"/>
  <c r="C186" i="3" s="1"/>
  <c r="C187" i="3" s="1"/>
  <c r="C188" i="3" s="1"/>
  <c r="C189" i="3" s="1"/>
  <c r="C190" i="3" s="1"/>
  <c r="C191" i="3" s="1"/>
  <c r="C192" i="3" s="1"/>
  <c r="C193" i="3" s="1"/>
  <c r="C194" i="3" s="1"/>
  <c r="C195" i="3" s="1"/>
  <c r="C196" i="3" s="1"/>
  <c r="C197" i="3" s="1"/>
  <c r="C198" i="3" s="1"/>
  <c r="C199" i="3" s="1"/>
  <c r="C200" i="3" s="1"/>
  <c r="C201" i="3" s="1"/>
  <c r="C202" i="3" s="1"/>
  <c r="C203" i="3" s="1"/>
  <c r="C204" i="3" s="1"/>
  <c r="C205" i="3" s="1"/>
  <c r="C206" i="3" s="1"/>
  <c r="C207" i="3" s="1"/>
  <c r="C208" i="3" s="1"/>
  <c r="C209" i="3" s="1"/>
  <c r="C210" i="3" s="1"/>
  <c r="C211" i="3" s="1"/>
  <c r="C212" i="3" s="1"/>
  <c r="C213" i="3" s="1"/>
  <c r="C214" i="3" s="1"/>
  <c r="C215" i="3" s="1"/>
  <c r="C216" i="3" s="1"/>
  <c r="C217" i="3" s="1"/>
  <c r="C218" i="3" s="1"/>
  <c r="C219" i="3" s="1"/>
  <c r="C220" i="3" s="1"/>
  <c r="C221" i="3" s="1"/>
  <c r="C222" i="3" s="1"/>
  <c r="C223" i="3" s="1"/>
  <c r="C224" i="3" s="1"/>
  <c r="C225" i="3" s="1"/>
  <c r="C226" i="3" s="1"/>
  <c r="C227" i="3" s="1"/>
  <c r="C228" i="3" s="1"/>
  <c r="C229" i="3" s="1"/>
  <c r="C230" i="3" s="1"/>
  <c r="C231" i="3" s="1"/>
  <c r="C232" i="3" s="1"/>
  <c r="C233" i="3" s="1"/>
  <c r="C234" i="3" s="1"/>
  <c r="C235" i="3" s="1"/>
  <c r="C236" i="3" s="1"/>
  <c r="C237" i="3" s="1"/>
  <c r="C238" i="3" s="1"/>
  <c r="C239" i="3" s="1"/>
  <c r="C240" i="3" s="1"/>
  <c r="C241" i="3" s="1"/>
  <c r="C242" i="3" s="1"/>
  <c r="C243" i="3" s="1"/>
  <c r="C244" i="3" s="1"/>
  <c r="C245" i="3" s="1"/>
  <c r="C246" i="3" s="1"/>
  <c r="C247" i="3" s="1"/>
  <c r="C248" i="3" s="1"/>
  <c r="C249" i="3" s="1"/>
  <c r="C250" i="3" s="1"/>
  <c r="C251" i="3" s="1"/>
  <c r="C252" i="3" s="1"/>
  <c r="C253" i="3" s="1"/>
  <c r="C254" i="3" s="1"/>
  <c r="C255" i="3" s="1"/>
  <c r="C256" i="3" s="1"/>
  <c r="C257" i="3" s="1"/>
  <c r="C258" i="3" s="1"/>
  <c r="C259" i="3" s="1"/>
  <c r="C260" i="3" s="1"/>
  <c r="C261" i="3" s="1"/>
  <c r="C262" i="3" s="1"/>
  <c r="C263" i="3" s="1"/>
  <c r="C264" i="3" s="1"/>
  <c r="C265" i="3" s="1"/>
  <c r="C266" i="3" s="1"/>
  <c r="C267" i="3" s="1"/>
  <c r="C268" i="3" s="1"/>
  <c r="C269" i="3" s="1"/>
  <c r="C270" i="3" s="1"/>
  <c r="C271" i="3" s="1"/>
  <c r="C272" i="3" s="1"/>
  <c r="C273" i="3" s="1"/>
  <c r="C274" i="3" s="1"/>
  <c r="C275" i="3" s="1"/>
  <c r="C276" i="3" s="1"/>
  <c r="C277" i="3" s="1"/>
  <c r="C278" i="3" s="1"/>
  <c r="C279" i="3" s="1"/>
  <c r="C280" i="3" s="1"/>
  <c r="C281" i="3" s="1"/>
  <c r="C282" i="3" s="1"/>
  <c r="C283" i="3" s="1"/>
  <c r="C284" i="3" s="1"/>
  <c r="C285" i="3" s="1"/>
  <c r="C286" i="3" s="1"/>
  <c r="C287" i="3" s="1"/>
  <c r="C288" i="3" s="1"/>
  <c r="C289" i="3" s="1"/>
  <c r="C290" i="3" s="1"/>
  <c r="C291" i="3" s="1"/>
  <c r="C292" i="3" s="1"/>
  <c r="C293" i="3" s="1"/>
  <c r="C294" i="3" s="1"/>
  <c r="C295" i="3" s="1"/>
  <c r="C296" i="3" s="1"/>
  <c r="C297" i="3" s="1"/>
  <c r="C298" i="3" s="1"/>
  <c r="C299" i="3" s="1"/>
  <c r="C300" i="3" s="1"/>
  <c r="C301" i="3" s="1"/>
  <c r="C302" i="3" s="1"/>
  <c r="C303" i="3" s="1"/>
  <c r="C304" i="3" s="1"/>
  <c r="C305" i="3" s="1"/>
  <c r="C306" i="3" s="1"/>
  <c r="C307" i="3" s="1"/>
  <c r="C308" i="3" s="1"/>
  <c r="C309" i="3" s="1"/>
  <c r="C310" i="3" s="1"/>
  <c r="C311" i="3" s="1"/>
  <c r="C312" i="3" s="1"/>
  <c r="C313" i="3" s="1"/>
  <c r="C314" i="3" s="1"/>
  <c r="C315" i="3" s="1"/>
  <c r="C316" i="3" s="1"/>
  <c r="C317" i="3" s="1"/>
  <c r="C318" i="3" s="1"/>
  <c r="C319" i="3" s="1"/>
  <c r="C320" i="3" s="1"/>
  <c r="C321" i="3" s="1"/>
  <c r="C322" i="3" s="1"/>
  <c r="C323" i="3" s="1"/>
  <c r="C324" i="3" s="1"/>
  <c r="C325" i="3" s="1"/>
  <c r="C326" i="3" s="1"/>
  <c r="C327" i="3" s="1"/>
  <c r="C328" i="3" s="1"/>
  <c r="C329" i="3" s="1"/>
  <c r="C330" i="3" s="1"/>
  <c r="C331" i="3" s="1"/>
  <c r="C332" i="3" s="1"/>
  <c r="C333" i="3" s="1"/>
  <c r="C334" i="3" s="1"/>
  <c r="C335" i="3" s="1"/>
  <c r="C336" i="3" s="1"/>
  <c r="C337" i="3" s="1"/>
  <c r="C338" i="3" s="1"/>
  <c r="C339" i="3" s="1"/>
  <c r="C340" i="3" s="1"/>
  <c r="C341" i="3" s="1"/>
  <c r="C342" i="3" s="1"/>
  <c r="C343" i="3" s="1"/>
  <c r="C344" i="3" s="1"/>
  <c r="C345" i="3" s="1"/>
  <c r="C346" i="3" s="1"/>
  <c r="C347" i="3" s="1"/>
  <c r="C348" i="3" s="1"/>
  <c r="C349" i="3" s="1"/>
  <c r="C350" i="3" s="1"/>
  <c r="C351" i="3" s="1"/>
  <c r="C352" i="3" s="1"/>
  <c r="C353" i="3" s="1"/>
  <c r="C354" i="3" s="1"/>
  <c r="C355" i="3" s="1"/>
  <c r="C356" i="3" s="1"/>
  <c r="C357" i="3" s="1"/>
  <c r="C358" i="3" s="1"/>
  <c r="C359" i="3" s="1"/>
  <c r="C360" i="3" s="1"/>
  <c r="C361" i="3" s="1"/>
  <c r="C362" i="3" s="1"/>
  <c r="C363" i="3" s="1"/>
  <c r="C364" i="3" s="1"/>
  <c r="C365" i="3" s="1"/>
  <c r="C366" i="3" s="1"/>
  <c r="C367" i="3" s="1"/>
  <c r="C368" i="3" s="1"/>
  <c r="C369" i="3" s="1"/>
  <c r="C370" i="3" s="1"/>
  <c r="C371" i="3" s="1"/>
  <c r="C372" i="3" s="1"/>
  <c r="C373" i="3" s="1"/>
  <c r="C374" i="3" s="1"/>
  <c r="C375" i="3" s="1"/>
  <c r="C376" i="3" s="1"/>
  <c r="C377" i="3" s="1"/>
  <c r="E18" i="3"/>
  <c r="G18" i="3" s="1"/>
  <c r="F19" i="3" s="1"/>
  <c r="B26" i="2"/>
  <c r="F4" i="4" s="1"/>
  <c r="G5" i="4" s="1"/>
  <c r="H5" i="4" l="1"/>
  <c r="E19" i="3"/>
  <c r="I5" i="4" l="1"/>
  <c r="G19" i="3"/>
  <c r="F20" i="3" s="1"/>
  <c r="J5" i="4" l="1"/>
  <c r="H10" i="2"/>
  <c r="G13" i="3" s="1"/>
  <c r="E20" i="3"/>
  <c r="AF8" i="2"/>
  <c r="V8" i="2"/>
  <c r="K5" i="4" l="1"/>
  <c r="K10" i="2"/>
  <c r="J13" i="3" s="1"/>
  <c r="I10" i="2"/>
  <c r="H13" i="3" s="1"/>
  <c r="D10" i="2"/>
  <c r="C13" i="3" s="1"/>
  <c r="G10" i="2"/>
  <c r="F13" i="3" s="1"/>
  <c r="E10" i="2"/>
  <c r="D13" i="3" s="1"/>
  <c r="J10" i="2"/>
  <c r="I13" i="3" s="1"/>
  <c r="C10" i="2"/>
  <c r="B13" i="3" s="1"/>
  <c r="F10" i="2"/>
  <c r="E13" i="3" s="1"/>
  <c r="G20" i="3"/>
  <c r="F21" i="3" s="1"/>
  <c r="AF10" i="2"/>
  <c r="AE13" i="3" s="1"/>
  <c r="Z10" i="2"/>
  <c r="Y13" i="3" s="1"/>
  <c r="AD10" i="2"/>
  <c r="AC13" i="3" s="1"/>
  <c r="M10" i="2"/>
  <c r="L13" i="3" s="1"/>
  <c r="Q10" i="2"/>
  <c r="P13" i="3" s="1"/>
  <c r="U10" i="2"/>
  <c r="T13" i="3" s="1"/>
  <c r="L10" i="2"/>
  <c r="K13" i="3" s="1"/>
  <c r="W10" i="2"/>
  <c r="V13" i="3" s="1"/>
  <c r="AA10" i="2"/>
  <c r="Z13" i="3" s="1"/>
  <c r="AE10" i="2"/>
  <c r="AD13" i="3" s="1"/>
  <c r="N10" i="2"/>
  <c r="M13" i="3" s="1"/>
  <c r="R10" i="2"/>
  <c r="Q13" i="3" s="1"/>
  <c r="AC10" i="2"/>
  <c r="AB13" i="3" s="1"/>
  <c r="P10" i="2"/>
  <c r="O13" i="3" s="1"/>
  <c r="X10" i="2"/>
  <c r="W13" i="3" s="1"/>
  <c r="AB10" i="2"/>
  <c r="AA13" i="3" s="1"/>
  <c r="V10" i="2"/>
  <c r="U13" i="3" s="1"/>
  <c r="O10" i="2"/>
  <c r="N13" i="3" s="1"/>
  <c r="S10" i="2"/>
  <c r="R13" i="3" s="1"/>
  <c r="Y10" i="2"/>
  <c r="X13" i="3" s="1"/>
  <c r="T10" i="2"/>
  <c r="S13" i="3" s="1"/>
  <c r="B3" i="2"/>
  <c r="B4" i="2" s="1"/>
  <c r="B2" i="3"/>
  <c r="L5" i="4" l="1"/>
  <c r="C24" i="2"/>
  <c r="E21" i="3"/>
  <c r="B21" i="2"/>
  <c r="F9" i="1"/>
  <c r="M5" i="4" l="1"/>
  <c r="B22" i="2"/>
  <c r="F3" i="4"/>
  <c r="D24" i="2"/>
  <c r="C26" i="2"/>
  <c r="G4" i="4" s="1"/>
  <c r="G6" i="4" s="1"/>
  <c r="G21" i="3"/>
  <c r="F22" i="3" s="1"/>
  <c r="N5" i="4" l="1"/>
  <c r="F41" i="4"/>
  <c r="F34" i="4"/>
  <c r="F31" i="4"/>
  <c r="F30" i="4"/>
  <c r="F21" i="4"/>
  <c r="F27" i="4"/>
  <c r="F19" i="4"/>
  <c r="F17" i="4"/>
  <c r="F14" i="4"/>
  <c r="F33" i="4"/>
  <c r="F28" i="4"/>
  <c r="F29" i="4"/>
  <c r="F35" i="4"/>
  <c r="F24" i="4"/>
  <c r="F40" i="4"/>
  <c r="F16" i="4"/>
  <c r="F13" i="4"/>
  <c r="F39" i="4"/>
  <c r="F38" i="4"/>
  <c r="F32" i="4"/>
  <c r="F26" i="4"/>
  <c r="F18" i="4"/>
  <c r="F20" i="4"/>
  <c r="F15" i="4"/>
  <c r="F36" i="4"/>
  <c r="F37" i="4"/>
  <c r="F22" i="4"/>
  <c r="F25" i="4"/>
  <c r="F23" i="4"/>
  <c r="F12" i="4"/>
  <c r="E24" i="2"/>
  <c r="D26" i="2"/>
  <c r="H4" i="4" s="1"/>
  <c r="H6" i="4" s="1"/>
  <c r="B27" i="2"/>
  <c r="E22" i="3"/>
  <c r="C7" i="2"/>
  <c r="C9" i="2" s="1"/>
  <c r="O5" i="4" l="1"/>
  <c r="F24" i="2"/>
  <c r="E26" i="2"/>
  <c r="I4" i="4" s="1"/>
  <c r="I6" i="4" s="1"/>
  <c r="G22" i="3"/>
  <c r="F23" i="3" s="1"/>
  <c r="E23" i="3" s="1"/>
  <c r="G23" i="3" s="1"/>
  <c r="F24" i="3" s="1"/>
  <c r="E24" i="3" s="1"/>
  <c r="G24" i="3" s="1"/>
  <c r="F25" i="3" s="1"/>
  <c r="E25" i="3" s="1"/>
  <c r="G25" i="3" s="1"/>
  <c r="F26" i="3" s="1"/>
  <c r="E26" i="3" s="1"/>
  <c r="G26" i="3" s="1"/>
  <c r="F27" i="3" s="1"/>
  <c r="E27" i="3" s="1"/>
  <c r="G27" i="3" s="1"/>
  <c r="F28" i="3" s="1"/>
  <c r="E28" i="3" s="1"/>
  <c r="G28" i="3" s="1"/>
  <c r="F29" i="3" s="1"/>
  <c r="E29" i="3" s="1"/>
  <c r="G29" i="3" s="1"/>
  <c r="F30" i="3" s="1"/>
  <c r="D7" i="2"/>
  <c r="D9" i="2" s="1"/>
  <c r="P5" i="4" l="1"/>
  <c r="G24" i="2"/>
  <c r="F26" i="2"/>
  <c r="J4" i="4" s="1"/>
  <c r="J6" i="4" s="1"/>
  <c r="E30" i="3"/>
  <c r="E7" i="2"/>
  <c r="E9" i="2" s="1"/>
  <c r="Q5" i="4" l="1"/>
  <c r="H24" i="2"/>
  <c r="G26" i="2"/>
  <c r="K4" i="4" s="1"/>
  <c r="K6" i="4" s="1"/>
  <c r="G30" i="3"/>
  <c r="F31" i="3" s="1"/>
  <c r="F7" i="2"/>
  <c r="F9" i="2" s="1"/>
  <c r="R5" i="4" l="1"/>
  <c r="I24" i="2"/>
  <c r="H26" i="2"/>
  <c r="L4" i="4" s="1"/>
  <c r="L6" i="4" s="1"/>
  <c r="E31" i="3"/>
  <c r="G7" i="2"/>
  <c r="G9" i="2" s="1"/>
  <c r="S5" i="4" l="1"/>
  <c r="J24" i="2"/>
  <c r="I26" i="2"/>
  <c r="M4" i="4" s="1"/>
  <c r="M6" i="4" s="1"/>
  <c r="G31" i="3"/>
  <c r="F32" i="3" s="1"/>
  <c r="H7" i="2"/>
  <c r="H9" i="2" s="1"/>
  <c r="T5" i="4" l="1"/>
  <c r="K24" i="2"/>
  <c r="J26" i="2"/>
  <c r="N4" i="4" s="1"/>
  <c r="N6" i="4" s="1"/>
  <c r="E32" i="3"/>
  <c r="I7" i="2"/>
  <c r="I9" i="2" s="1"/>
  <c r="U5" i="4" l="1"/>
  <c r="L24" i="2"/>
  <c r="K26" i="2"/>
  <c r="O4" i="4" s="1"/>
  <c r="O6" i="4" s="1"/>
  <c r="G32" i="3"/>
  <c r="F33" i="3" s="1"/>
  <c r="J7" i="2"/>
  <c r="J9" i="2" s="1"/>
  <c r="V5" i="4" l="1"/>
  <c r="L26" i="2"/>
  <c r="P4" i="4" s="1"/>
  <c r="P6" i="4" s="1"/>
  <c r="M24" i="2"/>
  <c r="E33" i="3"/>
  <c r="K7" i="2"/>
  <c r="K9" i="2" s="1"/>
  <c r="W5" i="4" l="1"/>
  <c r="M26" i="2"/>
  <c r="Q4" i="4" s="1"/>
  <c r="Q6" i="4" s="1"/>
  <c r="N24" i="2"/>
  <c r="G33" i="3"/>
  <c r="F34" i="3" s="1"/>
  <c r="L7" i="2"/>
  <c r="L9" i="2" s="1"/>
  <c r="X5" i="4" l="1"/>
  <c r="O24" i="2"/>
  <c r="N26" i="2"/>
  <c r="R4" i="4" s="1"/>
  <c r="R6" i="4" s="1"/>
  <c r="E34" i="3"/>
  <c r="M7" i="2"/>
  <c r="M9" i="2" s="1"/>
  <c r="Y5" i="4" l="1"/>
  <c r="P24" i="2"/>
  <c r="O26" i="2"/>
  <c r="S4" i="4" s="1"/>
  <c r="S6" i="4" s="1"/>
  <c r="G34" i="3"/>
  <c r="F35" i="3" s="1"/>
  <c r="E35" i="3" s="1"/>
  <c r="G35" i="3" s="1"/>
  <c r="F36" i="3" s="1"/>
  <c r="E36" i="3" s="1"/>
  <c r="G36" i="3" s="1"/>
  <c r="F37" i="3" s="1"/>
  <c r="E37" i="3" s="1"/>
  <c r="G37" i="3" s="1"/>
  <c r="F38" i="3" s="1"/>
  <c r="E38" i="3" s="1"/>
  <c r="G38" i="3" s="1"/>
  <c r="F39" i="3" s="1"/>
  <c r="E39" i="3" s="1"/>
  <c r="G39" i="3" s="1"/>
  <c r="F40" i="3" s="1"/>
  <c r="E40" i="3" s="1"/>
  <c r="G40" i="3" s="1"/>
  <c r="F41" i="3" s="1"/>
  <c r="E41" i="3" s="1"/>
  <c r="G41" i="3" s="1"/>
  <c r="N7" i="2"/>
  <c r="N9" i="2" s="1"/>
  <c r="Z5" i="4" l="1"/>
  <c r="Q24" i="2"/>
  <c r="P26" i="2"/>
  <c r="T4" i="4" s="1"/>
  <c r="T6" i="4" s="1"/>
  <c r="F42" i="3"/>
  <c r="O7" i="2"/>
  <c r="O9" i="2" s="1"/>
  <c r="AA5" i="4" l="1"/>
  <c r="R24" i="2"/>
  <c r="Q26" i="2"/>
  <c r="U4" i="4" s="1"/>
  <c r="U6" i="4" s="1"/>
  <c r="E42" i="3"/>
  <c r="P7" i="2"/>
  <c r="P9" i="2" s="1"/>
  <c r="AB5" i="4" l="1"/>
  <c r="R26" i="2"/>
  <c r="V4" i="4" s="1"/>
  <c r="V6" i="4" s="1"/>
  <c r="S24" i="2"/>
  <c r="G42" i="3"/>
  <c r="F43" i="3" s="1"/>
  <c r="Q7" i="2"/>
  <c r="Q9" i="2" s="1"/>
  <c r="AC5" i="4" l="1"/>
  <c r="T24" i="2"/>
  <c r="S26" i="2"/>
  <c r="W4" i="4" s="1"/>
  <c r="W6" i="4" s="1"/>
  <c r="E43" i="3"/>
  <c r="R7" i="2"/>
  <c r="R9" i="2" s="1"/>
  <c r="AD5" i="4" l="1"/>
  <c r="U24" i="2"/>
  <c r="T26" i="2"/>
  <c r="X4" i="4" s="1"/>
  <c r="X6" i="4" s="1"/>
  <c r="G43" i="3"/>
  <c r="F44" i="3" s="1"/>
  <c r="S7" i="2"/>
  <c r="S9" i="2" s="1"/>
  <c r="AE5" i="4" l="1"/>
  <c r="U26" i="2"/>
  <c r="Y4" i="4" s="1"/>
  <c r="Y6" i="4" s="1"/>
  <c r="V24" i="2"/>
  <c r="E44" i="3"/>
  <c r="T7" i="2"/>
  <c r="T9" i="2" s="1"/>
  <c r="AF5" i="4" l="1"/>
  <c r="W24" i="2"/>
  <c r="V26" i="2"/>
  <c r="Z4" i="4" s="1"/>
  <c r="Z6" i="4" s="1"/>
  <c r="G44" i="3"/>
  <c r="F45" i="3" s="1"/>
  <c r="U7" i="2"/>
  <c r="U9" i="2" s="1"/>
  <c r="AG5" i="4" l="1"/>
  <c r="W26" i="2"/>
  <c r="AA4" i="4" s="1"/>
  <c r="AA6" i="4" s="1"/>
  <c r="X24" i="2"/>
  <c r="E45" i="3"/>
  <c r="V7" i="2"/>
  <c r="V9" i="2" s="1"/>
  <c r="AH5" i="4" l="1"/>
  <c r="Y24" i="2"/>
  <c r="X26" i="2"/>
  <c r="AB4" i="4" s="1"/>
  <c r="AB6" i="4" s="1"/>
  <c r="G45" i="3"/>
  <c r="F46" i="3" s="1"/>
  <c r="W7" i="2"/>
  <c r="W9" i="2" s="1"/>
  <c r="AI5" i="4" l="1"/>
  <c r="Z24" i="2"/>
  <c r="Y26" i="2"/>
  <c r="AC4" i="4" s="1"/>
  <c r="AC6" i="4" s="1"/>
  <c r="E46" i="3"/>
  <c r="X7" i="2"/>
  <c r="X9" i="2" s="1"/>
  <c r="AJ5" i="4" l="1"/>
  <c r="AA24" i="2"/>
  <c r="Z26" i="2"/>
  <c r="AD4" i="4" s="1"/>
  <c r="AD6" i="4" s="1"/>
  <c r="G46" i="3"/>
  <c r="F47" i="3" s="1"/>
  <c r="E47" i="3" s="1"/>
  <c r="G47" i="3" s="1"/>
  <c r="F48" i="3" s="1"/>
  <c r="E48" i="3" s="1"/>
  <c r="G48" i="3" s="1"/>
  <c r="F49" i="3" s="1"/>
  <c r="E49" i="3" s="1"/>
  <c r="G49" i="3" s="1"/>
  <c r="F50" i="3" s="1"/>
  <c r="E50" i="3" s="1"/>
  <c r="G50" i="3" s="1"/>
  <c r="F51" i="3" s="1"/>
  <c r="E51" i="3" s="1"/>
  <c r="G51" i="3" s="1"/>
  <c r="F52" i="3" s="1"/>
  <c r="E52" i="3" s="1"/>
  <c r="G52" i="3" s="1"/>
  <c r="Y7" i="2"/>
  <c r="Y9" i="2" s="1"/>
  <c r="AA26" i="2" l="1"/>
  <c r="AE4" i="4" s="1"/>
  <c r="AE6" i="4" s="1"/>
  <c r="AB24" i="2"/>
  <c r="F53" i="3"/>
  <c r="E53" i="3" s="1"/>
  <c r="G53" i="3" s="1"/>
  <c r="Z7" i="2"/>
  <c r="Z9" i="2" s="1"/>
  <c r="AB26" i="2" l="1"/>
  <c r="AF4" i="4" s="1"/>
  <c r="AF6" i="4" s="1"/>
  <c r="AC24" i="2"/>
  <c r="F54" i="3"/>
  <c r="AA7" i="2"/>
  <c r="AA9" i="2" s="1"/>
  <c r="AC26" i="2" l="1"/>
  <c r="AG4" i="4" s="1"/>
  <c r="AG6" i="4" s="1"/>
  <c r="AD24" i="2"/>
  <c r="E54" i="3"/>
  <c r="AB7" i="2"/>
  <c r="AB9" i="2" s="1"/>
  <c r="AD26" i="2" l="1"/>
  <c r="AH4" i="4" s="1"/>
  <c r="AH6" i="4" s="1"/>
  <c r="AE24" i="2"/>
  <c r="G54" i="3"/>
  <c r="F55" i="3" s="1"/>
  <c r="AC7" i="2"/>
  <c r="AC9" i="2" s="1"/>
  <c r="AF24" i="2" l="1"/>
  <c r="AF26" i="2" s="1"/>
  <c r="AJ4" i="4" s="1"/>
  <c r="AJ6" i="4" s="1"/>
  <c r="AE26" i="2"/>
  <c r="AI4" i="4" s="1"/>
  <c r="AI6" i="4" s="1"/>
  <c r="E55" i="3"/>
  <c r="AD7" i="2"/>
  <c r="AD9" i="2" s="1"/>
  <c r="G55" i="3" l="1"/>
  <c r="F56" i="3" s="1"/>
  <c r="AE7" i="2"/>
  <c r="AE9" i="2" s="1"/>
  <c r="E56" i="3" l="1"/>
  <c r="AF7" i="2"/>
  <c r="AF9" i="2" s="1"/>
  <c r="G56" i="3" l="1"/>
  <c r="F57" i="3" s="1"/>
  <c r="E57" i="3" l="1"/>
  <c r="G57" i="3" l="1"/>
  <c r="F58" i="3" s="1"/>
  <c r="E58" i="3" l="1"/>
  <c r="G58" i="3" l="1"/>
  <c r="F59" i="3" s="1"/>
  <c r="E59" i="3" s="1"/>
  <c r="G59" i="3" s="1"/>
  <c r="F60" i="3" s="1"/>
  <c r="E60" i="3" s="1"/>
  <c r="G60" i="3" s="1"/>
  <c r="F61" i="3" s="1"/>
  <c r="E61" i="3" s="1"/>
  <c r="G61" i="3" s="1"/>
  <c r="F62" i="3" s="1"/>
  <c r="E62" i="3" s="1"/>
  <c r="G62" i="3" s="1"/>
  <c r="F63" i="3" s="1"/>
  <c r="E63" i="3" s="1"/>
  <c r="G63" i="3" s="1"/>
  <c r="F64" i="3" s="1"/>
  <c r="E64" i="3" s="1"/>
  <c r="G64" i="3" s="1"/>
  <c r="F65" i="3" l="1"/>
  <c r="E65" i="3" s="1"/>
  <c r="G65" i="3" s="1"/>
  <c r="F66" i="3" l="1"/>
  <c r="E66" i="3" l="1"/>
  <c r="G66" i="3" l="1"/>
  <c r="F67" i="3" s="1"/>
  <c r="E67" i="3" l="1"/>
  <c r="G67" i="3" l="1"/>
  <c r="F68" i="3" s="1"/>
  <c r="E68" i="3" l="1"/>
  <c r="G68" i="3" l="1"/>
  <c r="F69" i="3" s="1"/>
  <c r="E69" i="3" l="1"/>
  <c r="G69" i="3" l="1"/>
  <c r="F70" i="3" s="1"/>
  <c r="E70" i="3" l="1"/>
  <c r="G70" i="3" l="1"/>
  <c r="F71" i="3" s="1"/>
  <c r="E71" i="3" s="1"/>
  <c r="G71" i="3" s="1"/>
  <c r="F72" i="3" s="1"/>
  <c r="E72" i="3" s="1"/>
  <c r="G72" i="3" s="1"/>
  <c r="F73" i="3" s="1"/>
  <c r="E73" i="3" s="1"/>
  <c r="G73" i="3" s="1"/>
  <c r="F74" i="3" s="1"/>
  <c r="E74" i="3" s="1"/>
  <c r="G74" i="3" s="1"/>
  <c r="F75" i="3" s="1"/>
  <c r="E75" i="3" s="1"/>
  <c r="G75" i="3" s="1"/>
  <c r="F76" i="3" s="1"/>
  <c r="E76" i="3" s="1"/>
  <c r="G76" i="3" s="1"/>
  <c r="F77" i="3" l="1"/>
  <c r="E77" i="3" s="1"/>
  <c r="G77" i="3" s="1"/>
  <c r="F78" i="3" l="1"/>
  <c r="E78" i="3" l="1"/>
  <c r="G78" i="3" l="1"/>
  <c r="F79" i="3" s="1"/>
  <c r="E79" i="3" l="1"/>
  <c r="G79" i="3" l="1"/>
  <c r="F80" i="3" s="1"/>
  <c r="E80" i="3" l="1"/>
  <c r="G80" i="3" l="1"/>
  <c r="F81" i="3" s="1"/>
  <c r="E81" i="3" l="1"/>
  <c r="G81" i="3" l="1"/>
  <c r="F82" i="3" s="1"/>
  <c r="E82" i="3" l="1"/>
  <c r="G82" i="3" l="1"/>
  <c r="F83" i="3" s="1"/>
  <c r="E83" i="3" s="1"/>
  <c r="G83" i="3" s="1"/>
  <c r="F84" i="3" s="1"/>
  <c r="E84" i="3" s="1"/>
  <c r="G84" i="3" s="1"/>
  <c r="F85" i="3" s="1"/>
  <c r="E85" i="3" s="1"/>
  <c r="G85" i="3" s="1"/>
  <c r="F86" i="3" s="1"/>
  <c r="E86" i="3" s="1"/>
  <c r="G86" i="3" s="1"/>
  <c r="F87" i="3" s="1"/>
  <c r="E87" i="3" s="1"/>
  <c r="G87" i="3" s="1"/>
  <c r="F88" i="3" s="1"/>
  <c r="E88" i="3" s="1"/>
  <c r="G88" i="3" l="1"/>
  <c r="F89" i="3" s="1"/>
  <c r="E89" i="3" s="1"/>
  <c r="G89" i="3" s="1"/>
  <c r="F90" i="3" l="1"/>
  <c r="E90" i="3" l="1"/>
  <c r="G90" i="3" l="1"/>
  <c r="F91" i="3" s="1"/>
  <c r="E91" i="3" l="1"/>
  <c r="G91" i="3" l="1"/>
  <c r="F92" i="3" s="1"/>
  <c r="E92" i="3" l="1"/>
  <c r="G92" i="3" l="1"/>
  <c r="F93" i="3" s="1"/>
  <c r="E93" i="3" l="1"/>
  <c r="G93" i="3" l="1"/>
  <c r="F94" i="3" s="1"/>
  <c r="E94" i="3" l="1"/>
  <c r="G94" i="3" l="1"/>
  <c r="F95" i="3" s="1"/>
  <c r="E95" i="3" s="1"/>
  <c r="G95" i="3" s="1"/>
  <c r="F96" i="3" s="1"/>
  <c r="E96" i="3" s="1"/>
  <c r="G96" i="3" s="1"/>
  <c r="F97" i="3" s="1"/>
  <c r="E97" i="3" s="1"/>
  <c r="G97" i="3" s="1"/>
  <c r="F98" i="3" s="1"/>
  <c r="E98" i="3" s="1"/>
  <c r="G98" i="3" s="1"/>
  <c r="F99" i="3" s="1"/>
  <c r="E99" i="3" s="1"/>
  <c r="G99" i="3" s="1"/>
  <c r="F100" i="3" s="1"/>
  <c r="E100" i="3" s="1"/>
  <c r="G100" i="3" s="1"/>
  <c r="F101" i="3" l="1"/>
  <c r="E101" i="3" s="1"/>
  <c r="G101" i="3" s="1"/>
  <c r="F102" i="3" l="1"/>
  <c r="E102" i="3" l="1"/>
  <c r="G102" i="3" l="1"/>
  <c r="F103" i="3" s="1"/>
  <c r="E103" i="3" l="1"/>
  <c r="G103" i="3" l="1"/>
  <c r="F104" i="3" s="1"/>
  <c r="E104" i="3" l="1"/>
  <c r="G104" i="3" l="1"/>
  <c r="F105" i="3" s="1"/>
  <c r="E105" i="3" l="1"/>
  <c r="G105" i="3" l="1"/>
  <c r="F106" i="3" s="1"/>
  <c r="E106" i="3" l="1"/>
  <c r="G106" i="3" l="1"/>
  <c r="F107" i="3" s="1"/>
  <c r="E107" i="3" s="1"/>
  <c r="G107" i="3" s="1"/>
  <c r="F108" i="3" s="1"/>
  <c r="E108" i="3" s="1"/>
  <c r="G108" i="3" s="1"/>
  <c r="F109" i="3" s="1"/>
  <c r="E109" i="3" s="1"/>
  <c r="G109" i="3" s="1"/>
  <c r="F110" i="3" s="1"/>
  <c r="E110" i="3" s="1"/>
  <c r="G110" i="3" s="1"/>
  <c r="F111" i="3" s="1"/>
  <c r="E111" i="3" s="1"/>
  <c r="G111" i="3" s="1"/>
  <c r="F112" i="3" s="1"/>
  <c r="E112" i="3" s="1"/>
  <c r="G112" i="3" s="1"/>
  <c r="F113" i="3" l="1"/>
  <c r="E113" i="3" s="1"/>
  <c r="G113" i="3" s="1"/>
  <c r="F114" i="3" l="1"/>
  <c r="E114" i="3" l="1"/>
  <c r="G114" i="3" l="1"/>
  <c r="F115" i="3" s="1"/>
  <c r="E115" i="3" l="1"/>
  <c r="G115" i="3" l="1"/>
  <c r="F116" i="3" l="1"/>
  <c r="E116" i="3" l="1"/>
  <c r="G116" i="3" l="1"/>
  <c r="F117" i="3" s="1"/>
  <c r="E117" i="3" l="1"/>
  <c r="G117" i="3" l="1"/>
  <c r="F118" i="3" s="1"/>
  <c r="E118" i="3" l="1"/>
  <c r="G118" i="3" l="1"/>
  <c r="F119" i="3" s="1"/>
  <c r="E119" i="3" s="1"/>
  <c r="G119" i="3" s="1"/>
  <c r="F120" i="3" s="1"/>
  <c r="E120" i="3" s="1"/>
  <c r="G120" i="3" s="1"/>
  <c r="F121" i="3" s="1"/>
  <c r="E121" i="3" s="1"/>
  <c r="G121" i="3" s="1"/>
  <c r="F122" i="3" s="1"/>
  <c r="E122" i="3" s="1"/>
  <c r="G122" i="3" s="1"/>
  <c r="F123" i="3" s="1"/>
  <c r="E123" i="3" s="1"/>
  <c r="G123" i="3" s="1"/>
  <c r="F124" i="3" s="1"/>
  <c r="E124" i="3" s="1"/>
  <c r="G124" i="3" s="1"/>
  <c r="F125" i="3" s="1"/>
  <c r="E125" i="3" s="1"/>
  <c r="G125" i="3" s="1"/>
  <c r="F126" i="3" l="1"/>
  <c r="E126" i="3" l="1"/>
  <c r="G126" i="3" l="1"/>
  <c r="F127" i="3" s="1"/>
  <c r="E127" i="3" l="1"/>
  <c r="G127" i="3" l="1"/>
  <c r="F128" i="3" s="1"/>
  <c r="E128" i="3" l="1"/>
  <c r="G128" i="3" l="1"/>
  <c r="F129" i="3" s="1"/>
  <c r="E129" i="3" l="1"/>
  <c r="G129" i="3" l="1"/>
  <c r="F130" i="3" s="1"/>
  <c r="E130" i="3" l="1"/>
  <c r="G130" i="3" l="1"/>
  <c r="F131" i="3" s="1"/>
  <c r="E131" i="3" s="1"/>
  <c r="G131" i="3" s="1"/>
  <c r="F132" i="3" s="1"/>
  <c r="E132" i="3" s="1"/>
  <c r="G132" i="3" s="1"/>
  <c r="F133" i="3" s="1"/>
  <c r="E133" i="3" s="1"/>
  <c r="G133" i="3" s="1"/>
  <c r="F134" i="3" s="1"/>
  <c r="E134" i="3" s="1"/>
  <c r="G134" i="3" s="1"/>
  <c r="F135" i="3" s="1"/>
  <c r="E135" i="3" s="1"/>
  <c r="G135" i="3" s="1"/>
  <c r="F136" i="3" s="1"/>
  <c r="E136" i="3" s="1"/>
  <c r="G136" i="3" s="1"/>
  <c r="F137" i="3" l="1"/>
  <c r="E137" i="3" s="1"/>
  <c r="G137" i="3" s="1"/>
  <c r="F138" i="3" l="1"/>
  <c r="E138" i="3" l="1"/>
  <c r="G138" i="3" l="1"/>
  <c r="F139" i="3" s="1"/>
  <c r="E139" i="3" l="1"/>
  <c r="G139" i="3" l="1"/>
  <c r="F140" i="3" s="1"/>
  <c r="E140" i="3" l="1"/>
  <c r="G140" i="3" l="1"/>
  <c r="F141" i="3" s="1"/>
  <c r="E141" i="3" l="1"/>
  <c r="G141" i="3" l="1"/>
  <c r="F142" i="3" s="1"/>
  <c r="E142" i="3" l="1"/>
  <c r="G142" i="3" l="1"/>
  <c r="F143" i="3" s="1"/>
  <c r="E143" i="3" s="1"/>
  <c r="G143" i="3" s="1"/>
  <c r="F144" i="3" s="1"/>
  <c r="E144" i="3" s="1"/>
  <c r="G144" i="3" s="1"/>
  <c r="F145" i="3" s="1"/>
  <c r="E145" i="3" s="1"/>
  <c r="G145" i="3" s="1"/>
  <c r="F146" i="3" s="1"/>
  <c r="E146" i="3" s="1"/>
  <c r="G146" i="3" s="1"/>
  <c r="F147" i="3" s="1"/>
  <c r="E147" i="3" s="1"/>
  <c r="G147" i="3" s="1"/>
  <c r="F148" i="3" s="1"/>
  <c r="E148" i="3" s="1"/>
  <c r="G148" i="3" s="1"/>
  <c r="F149" i="3" l="1"/>
  <c r="E149" i="3" s="1"/>
  <c r="G149" i="3" s="1"/>
  <c r="F150" i="3" l="1"/>
  <c r="E150" i="3" l="1"/>
  <c r="G150" i="3" l="1"/>
  <c r="F151" i="3" s="1"/>
  <c r="E151" i="3" l="1"/>
  <c r="G151" i="3" l="1"/>
  <c r="F152" i="3" s="1"/>
  <c r="E152" i="3" l="1"/>
  <c r="G152" i="3" l="1"/>
  <c r="F153" i="3" s="1"/>
  <c r="E153" i="3" l="1"/>
  <c r="G153" i="3" l="1"/>
  <c r="F154" i="3" s="1"/>
  <c r="E154" i="3" l="1"/>
  <c r="G154" i="3" l="1"/>
  <c r="F155" i="3" s="1"/>
  <c r="E155" i="3" s="1"/>
  <c r="G155" i="3" s="1"/>
  <c r="F156" i="3" s="1"/>
  <c r="E156" i="3" s="1"/>
  <c r="G156" i="3" s="1"/>
  <c r="F157" i="3" s="1"/>
  <c r="E157" i="3" s="1"/>
  <c r="G157" i="3" s="1"/>
  <c r="F158" i="3" s="1"/>
  <c r="E158" i="3" s="1"/>
  <c r="G158" i="3" s="1"/>
  <c r="F159" i="3" s="1"/>
  <c r="E159" i="3" s="1"/>
  <c r="G159" i="3" s="1"/>
  <c r="F160" i="3" s="1"/>
  <c r="E160" i="3" s="1"/>
  <c r="G160" i="3" s="1"/>
  <c r="F161" i="3" l="1"/>
  <c r="E161" i="3" s="1"/>
  <c r="G161" i="3" s="1"/>
  <c r="F162" i="3" l="1"/>
  <c r="E162" i="3" l="1"/>
  <c r="G162" i="3" l="1"/>
  <c r="F163" i="3" s="1"/>
  <c r="E163" i="3" l="1"/>
  <c r="G163" i="3" l="1"/>
  <c r="F164" i="3" s="1"/>
  <c r="E164" i="3" l="1"/>
  <c r="G164" i="3" l="1"/>
  <c r="F165" i="3" s="1"/>
  <c r="E165" i="3" l="1"/>
  <c r="G165" i="3" l="1"/>
  <c r="F166" i="3" s="1"/>
  <c r="E166" i="3" l="1"/>
  <c r="G166" i="3" l="1"/>
  <c r="F167" i="3" s="1"/>
  <c r="E167" i="3" s="1"/>
  <c r="G167" i="3" s="1"/>
  <c r="F168" i="3" s="1"/>
  <c r="E168" i="3" s="1"/>
  <c r="G168" i="3" s="1"/>
  <c r="F169" i="3" s="1"/>
  <c r="E169" i="3" s="1"/>
  <c r="G169" i="3" s="1"/>
  <c r="F170" i="3" s="1"/>
  <c r="E170" i="3" s="1"/>
  <c r="G170" i="3" s="1"/>
  <c r="F171" i="3" s="1"/>
  <c r="E171" i="3" s="1"/>
  <c r="G171" i="3" s="1"/>
  <c r="F172" i="3" s="1"/>
  <c r="E172" i="3" s="1"/>
  <c r="G172" i="3" s="1"/>
  <c r="F173" i="3" l="1"/>
  <c r="E173" i="3" s="1"/>
  <c r="G173" i="3" s="1"/>
  <c r="F174" i="3" l="1"/>
  <c r="E174" i="3" l="1"/>
  <c r="G174" i="3" l="1"/>
  <c r="F175" i="3" s="1"/>
  <c r="E175" i="3" l="1"/>
  <c r="G175" i="3" l="1"/>
  <c r="F176" i="3" s="1"/>
  <c r="E176" i="3" l="1"/>
  <c r="G176" i="3" l="1"/>
  <c r="F177" i="3" s="1"/>
  <c r="E177" i="3" l="1"/>
  <c r="G177" i="3" l="1"/>
  <c r="F178" i="3" s="1"/>
  <c r="E178" i="3" l="1"/>
  <c r="G178" i="3" l="1"/>
  <c r="F179" i="3" s="1"/>
  <c r="E179" i="3" s="1"/>
  <c r="G179" i="3" s="1"/>
  <c r="F180" i="3" s="1"/>
  <c r="E180" i="3" s="1"/>
  <c r="G180" i="3" s="1"/>
  <c r="F181" i="3" s="1"/>
  <c r="E181" i="3" s="1"/>
  <c r="G181" i="3" s="1"/>
  <c r="F182" i="3" s="1"/>
  <c r="E182" i="3" s="1"/>
  <c r="G182" i="3" s="1"/>
  <c r="F183" i="3" s="1"/>
  <c r="E183" i="3" s="1"/>
  <c r="G183" i="3" s="1"/>
  <c r="F184" i="3" s="1"/>
  <c r="E184" i="3" s="1"/>
  <c r="G184" i="3" s="1"/>
  <c r="F185" i="3" l="1"/>
  <c r="E185" i="3" s="1"/>
  <c r="G185" i="3" s="1"/>
  <c r="F186" i="3" l="1"/>
  <c r="E186" i="3" l="1"/>
  <c r="G186" i="3" l="1"/>
  <c r="F187" i="3" s="1"/>
  <c r="E187" i="3" l="1"/>
  <c r="G187" i="3" l="1"/>
  <c r="F188" i="3" s="1"/>
  <c r="E188" i="3" l="1"/>
  <c r="G188" i="3" l="1"/>
  <c r="F189" i="3" s="1"/>
  <c r="E189" i="3" l="1"/>
  <c r="G189" i="3" l="1"/>
  <c r="F190" i="3" s="1"/>
  <c r="E190" i="3" l="1"/>
  <c r="G190" i="3" l="1"/>
  <c r="F191" i="3" s="1"/>
  <c r="E191" i="3" s="1"/>
  <c r="G191" i="3" s="1"/>
  <c r="F192" i="3" s="1"/>
  <c r="E192" i="3" s="1"/>
  <c r="G192" i="3" s="1"/>
  <c r="F193" i="3" s="1"/>
  <c r="E193" i="3" s="1"/>
  <c r="G193" i="3" s="1"/>
  <c r="F194" i="3" s="1"/>
  <c r="E194" i="3" s="1"/>
  <c r="G194" i="3" s="1"/>
  <c r="F195" i="3" s="1"/>
  <c r="E195" i="3" s="1"/>
  <c r="G195" i="3" s="1"/>
  <c r="F196" i="3" s="1"/>
  <c r="E196" i="3" s="1"/>
  <c r="G196" i="3" s="1"/>
  <c r="F197" i="3" l="1"/>
  <c r="E197" i="3" s="1"/>
  <c r="G197" i="3" s="1"/>
  <c r="F198" i="3" l="1"/>
  <c r="E198" i="3" l="1"/>
  <c r="G198" i="3" l="1"/>
  <c r="F199" i="3" s="1"/>
  <c r="E199" i="3" l="1"/>
  <c r="G199" i="3" l="1"/>
  <c r="F200" i="3" s="1"/>
  <c r="E200" i="3" l="1"/>
  <c r="G200" i="3" l="1"/>
  <c r="F201" i="3" s="1"/>
  <c r="E201" i="3" l="1"/>
  <c r="G201" i="3" l="1"/>
  <c r="F202" i="3" s="1"/>
  <c r="E202" i="3" l="1"/>
  <c r="G202" i="3" l="1"/>
  <c r="F203" i="3" s="1"/>
  <c r="E203" i="3" s="1"/>
  <c r="G203" i="3" s="1"/>
  <c r="F204" i="3" s="1"/>
  <c r="E204" i="3" s="1"/>
  <c r="G204" i="3" s="1"/>
  <c r="F205" i="3" s="1"/>
  <c r="E205" i="3" s="1"/>
  <c r="G205" i="3" s="1"/>
  <c r="F206" i="3" s="1"/>
  <c r="E206" i="3" s="1"/>
  <c r="G206" i="3" s="1"/>
  <c r="F207" i="3" s="1"/>
  <c r="E207" i="3" s="1"/>
  <c r="G207" i="3" s="1"/>
  <c r="F208" i="3" s="1"/>
  <c r="E208" i="3" s="1"/>
  <c r="G208" i="3" s="1"/>
  <c r="F209" i="3" l="1"/>
  <c r="E209" i="3" s="1"/>
  <c r="G209" i="3" s="1"/>
  <c r="F210" i="3" l="1"/>
  <c r="E210" i="3" l="1"/>
  <c r="G210" i="3" l="1"/>
  <c r="F211" i="3" s="1"/>
  <c r="E211" i="3" l="1"/>
  <c r="G211" i="3" l="1"/>
  <c r="F212" i="3" s="1"/>
  <c r="E212" i="3" l="1"/>
  <c r="G212" i="3" l="1"/>
  <c r="F213" i="3" s="1"/>
  <c r="E213" i="3" l="1"/>
  <c r="G213" i="3" l="1"/>
  <c r="F214" i="3" s="1"/>
  <c r="E214" i="3" l="1"/>
  <c r="G214" i="3" l="1"/>
  <c r="F215" i="3" s="1"/>
  <c r="E215" i="3" s="1"/>
  <c r="G215" i="3" s="1"/>
  <c r="F216" i="3" s="1"/>
  <c r="E216" i="3" s="1"/>
  <c r="G216" i="3" s="1"/>
  <c r="F217" i="3" s="1"/>
  <c r="E217" i="3" s="1"/>
  <c r="G217" i="3" s="1"/>
  <c r="F218" i="3" s="1"/>
  <c r="E218" i="3" s="1"/>
  <c r="G218" i="3" s="1"/>
  <c r="F219" i="3" s="1"/>
  <c r="E219" i="3" s="1"/>
  <c r="G219" i="3" s="1"/>
  <c r="F220" i="3" s="1"/>
  <c r="E220" i="3" s="1"/>
  <c r="G220" i="3" s="1"/>
  <c r="F221" i="3" l="1"/>
  <c r="E221" i="3" s="1"/>
  <c r="G221" i="3" s="1"/>
  <c r="F222" i="3" l="1"/>
  <c r="E222" i="3" l="1"/>
  <c r="G222" i="3" l="1"/>
  <c r="F223" i="3" s="1"/>
  <c r="E223" i="3" l="1"/>
  <c r="G223" i="3" l="1"/>
  <c r="F224" i="3" s="1"/>
  <c r="E224" i="3" l="1"/>
  <c r="G224" i="3" l="1"/>
  <c r="F225" i="3" s="1"/>
  <c r="E225" i="3" l="1"/>
  <c r="G225" i="3" l="1"/>
  <c r="F226" i="3" s="1"/>
  <c r="E226" i="3" l="1"/>
  <c r="G226" i="3" l="1"/>
  <c r="F227" i="3" s="1"/>
  <c r="E227" i="3" s="1"/>
  <c r="G227" i="3" s="1"/>
  <c r="F228" i="3" s="1"/>
  <c r="E228" i="3" s="1"/>
  <c r="G228" i="3" s="1"/>
  <c r="F229" i="3" s="1"/>
  <c r="E229" i="3" s="1"/>
  <c r="G229" i="3" s="1"/>
  <c r="F230" i="3" s="1"/>
  <c r="E230" i="3" s="1"/>
  <c r="G230" i="3" s="1"/>
  <c r="F231" i="3" s="1"/>
  <c r="E231" i="3" s="1"/>
  <c r="G231" i="3" s="1"/>
  <c r="F232" i="3" s="1"/>
  <c r="E232" i="3" s="1"/>
  <c r="G232" i="3" s="1"/>
  <c r="F233" i="3" l="1"/>
  <c r="E233" i="3" s="1"/>
  <c r="G233" i="3" s="1"/>
  <c r="F234" i="3" l="1"/>
  <c r="E234" i="3" l="1"/>
  <c r="G234" i="3" l="1"/>
  <c r="F235" i="3" s="1"/>
  <c r="E235" i="3" l="1"/>
  <c r="G235" i="3" l="1"/>
  <c r="F236" i="3" s="1"/>
  <c r="E236" i="3" l="1"/>
  <c r="G236" i="3" l="1"/>
  <c r="F237" i="3" s="1"/>
  <c r="E237" i="3" l="1"/>
  <c r="G237" i="3" l="1"/>
  <c r="F238" i="3" s="1"/>
  <c r="E238" i="3" l="1"/>
  <c r="G238" i="3" l="1"/>
  <c r="F239" i="3" s="1"/>
  <c r="E239" i="3" s="1"/>
  <c r="G239" i="3" s="1"/>
  <c r="F240" i="3" s="1"/>
  <c r="E240" i="3" s="1"/>
  <c r="G240" i="3" s="1"/>
  <c r="F241" i="3" s="1"/>
  <c r="E241" i="3" s="1"/>
  <c r="G241" i="3" s="1"/>
  <c r="F242" i="3" s="1"/>
  <c r="E242" i="3" s="1"/>
  <c r="G242" i="3" s="1"/>
  <c r="F243" i="3" s="1"/>
  <c r="E243" i="3" s="1"/>
  <c r="G243" i="3" s="1"/>
  <c r="F244" i="3" s="1"/>
  <c r="E244" i="3" s="1"/>
  <c r="G244" i="3" s="1"/>
  <c r="F245" i="3" l="1"/>
  <c r="E245" i="3" s="1"/>
  <c r="G245" i="3" s="1"/>
  <c r="F246" i="3" l="1"/>
  <c r="E246" i="3" l="1"/>
  <c r="G246" i="3" l="1"/>
  <c r="F247" i="3" s="1"/>
  <c r="E247" i="3" l="1"/>
  <c r="G247" i="3" l="1"/>
  <c r="F248" i="3" s="1"/>
  <c r="E248" i="3" l="1"/>
  <c r="G248" i="3" l="1"/>
  <c r="F249" i="3" s="1"/>
  <c r="E249" i="3" l="1"/>
  <c r="G249" i="3" l="1"/>
  <c r="F250" i="3" s="1"/>
  <c r="E250" i="3" l="1"/>
  <c r="G250" i="3" l="1"/>
  <c r="F251" i="3" s="1"/>
  <c r="E251" i="3" s="1"/>
  <c r="G251" i="3" s="1"/>
  <c r="F252" i="3" s="1"/>
  <c r="E252" i="3" s="1"/>
  <c r="G252" i="3" s="1"/>
  <c r="F253" i="3" s="1"/>
  <c r="E253" i="3" s="1"/>
  <c r="G253" i="3" s="1"/>
  <c r="F254" i="3" s="1"/>
  <c r="E254" i="3" s="1"/>
  <c r="G254" i="3" s="1"/>
  <c r="F255" i="3" s="1"/>
  <c r="E255" i="3" s="1"/>
  <c r="G255" i="3" s="1"/>
  <c r="F256" i="3" s="1"/>
  <c r="E256" i="3" s="1"/>
  <c r="G256" i="3" s="1"/>
  <c r="F257" i="3" l="1"/>
  <c r="E257" i="3" l="1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U13" i="2" l="1"/>
  <c r="T14" i="3"/>
  <c r="Q13" i="2"/>
  <c r="P14" i="3"/>
  <c r="M13" i="2"/>
  <c r="L14" i="3"/>
  <c r="I13" i="2"/>
  <c r="H14" i="3"/>
  <c r="E13" i="2"/>
  <c r="D14" i="3"/>
  <c r="P13" i="2"/>
  <c r="O14" i="3"/>
  <c r="L13" i="2"/>
  <c r="K14" i="3"/>
  <c r="H13" i="2"/>
  <c r="G14" i="3"/>
  <c r="D13" i="2"/>
  <c r="C14" i="3"/>
  <c r="T13" i="2"/>
  <c r="S14" i="3"/>
  <c r="S13" i="2"/>
  <c r="R14" i="3"/>
  <c r="O13" i="2"/>
  <c r="N14" i="3"/>
  <c r="K13" i="2"/>
  <c r="J14" i="3"/>
  <c r="G13" i="2"/>
  <c r="F14" i="3"/>
  <c r="C13" i="2"/>
  <c r="B14" i="3"/>
  <c r="V13" i="2"/>
  <c r="U14" i="3"/>
  <c r="R13" i="2"/>
  <c r="Q14" i="3"/>
  <c r="N13" i="2"/>
  <c r="M14" i="3"/>
  <c r="J13" i="2"/>
  <c r="I14" i="3"/>
  <c r="F13" i="2"/>
  <c r="E14" i="3"/>
  <c r="E17" i="2"/>
  <c r="E18" i="2" s="1"/>
  <c r="U17" i="2"/>
  <c r="U18" i="2" s="1"/>
  <c r="Q17" i="2"/>
  <c r="Q18" i="2" s="1"/>
  <c r="M17" i="2"/>
  <c r="M18" i="2" s="1"/>
  <c r="I17" i="2"/>
  <c r="I18" i="2" s="1"/>
  <c r="T17" i="2"/>
  <c r="T18" i="2" s="1"/>
  <c r="P17" i="2"/>
  <c r="P18" i="2" s="1"/>
  <c r="L17" i="2"/>
  <c r="L18" i="2" s="1"/>
  <c r="H17" i="2"/>
  <c r="H18" i="2" s="1"/>
  <c r="D17" i="2"/>
  <c r="D18" i="2" s="1"/>
  <c r="C17" i="2"/>
  <c r="C18" i="2" s="1"/>
  <c r="C19" i="2" s="1"/>
  <c r="S17" i="2"/>
  <c r="S18" i="2" s="1"/>
  <c r="O17" i="2"/>
  <c r="O18" i="2" s="1"/>
  <c r="K17" i="2"/>
  <c r="K18" i="2" s="1"/>
  <c r="G17" i="2"/>
  <c r="G18" i="2" s="1"/>
  <c r="V17" i="2"/>
  <c r="V18" i="2" s="1"/>
  <c r="R17" i="2"/>
  <c r="R18" i="2" s="1"/>
  <c r="N17" i="2"/>
  <c r="N18" i="2" s="1"/>
  <c r="J17" i="2"/>
  <c r="J18" i="2" s="1"/>
  <c r="F17" i="2"/>
  <c r="F18" i="2" s="1"/>
  <c r="G257" i="3"/>
  <c r="B9" i="3"/>
  <c r="C12" i="2" s="1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D19" i="2" l="1"/>
  <c r="E19" i="2" s="1"/>
  <c r="F19" i="2" s="1"/>
  <c r="G19" i="2" s="1"/>
  <c r="H19" i="2" s="1"/>
  <c r="I19" i="2" s="1"/>
  <c r="J19" i="2" s="1"/>
  <c r="K19" i="2" s="1"/>
  <c r="L19" i="2" s="1"/>
  <c r="M19" i="2" s="1"/>
  <c r="N19" i="2" s="1"/>
  <c r="O19" i="2" s="1"/>
  <c r="P19" i="2" s="1"/>
  <c r="Q19" i="2" s="1"/>
  <c r="R19" i="2" s="1"/>
  <c r="S19" i="2" s="1"/>
  <c r="T19" i="2" s="1"/>
  <c r="U19" i="2" s="1"/>
  <c r="V19" i="2" s="1"/>
  <c r="F258" i="3"/>
  <c r="T11" i="3"/>
  <c r="U14" i="2" s="1"/>
  <c r="U21" i="2" s="1"/>
  <c r="Y3" i="4" s="1"/>
  <c r="U12" i="2"/>
  <c r="P11" i="3"/>
  <c r="Q14" i="2" s="1"/>
  <c r="Q21" i="2" s="1"/>
  <c r="U3" i="4" s="1"/>
  <c r="Q12" i="2"/>
  <c r="L11" i="3"/>
  <c r="M14" i="2" s="1"/>
  <c r="M21" i="2" s="1"/>
  <c r="Q3" i="4" s="1"/>
  <c r="M12" i="2"/>
  <c r="H11" i="3"/>
  <c r="I14" i="2" s="1"/>
  <c r="I21" i="2" s="1"/>
  <c r="M3" i="4" s="1"/>
  <c r="I12" i="2"/>
  <c r="D11" i="3"/>
  <c r="E14" i="2" s="1"/>
  <c r="E21" i="2" s="1"/>
  <c r="I3" i="4" s="1"/>
  <c r="E12" i="2"/>
  <c r="U11" i="3"/>
  <c r="V14" i="2" s="1"/>
  <c r="V21" i="2" s="1"/>
  <c r="Z3" i="4" s="1"/>
  <c r="V12" i="2"/>
  <c r="S11" i="3"/>
  <c r="T14" i="2" s="1"/>
  <c r="T21" i="2" s="1"/>
  <c r="X3" i="4" s="1"/>
  <c r="T12" i="2"/>
  <c r="O11" i="3"/>
  <c r="P14" i="2" s="1"/>
  <c r="P21" i="2" s="1"/>
  <c r="T3" i="4" s="1"/>
  <c r="P12" i="2"/>
  <c r="K11" i="3"/>
  <c r="L14" i="2" s="1"/>
  <c r="L21" i="2" s="1"/>
  <c r="P3" i="4" s="1"/>
  <c r="L12" i="2"/>
  <c r="G11" i="3"/>
  <c r="H14" i="2" s="1"/>
  <c r="H21" i="2" s="1"/>
  <c r="L3" i="4" s="1"/>
  <c r="H12" i="2"/>
  <c r="C11" i="3"/>
  <c r="D14" i="2" s="1"/>
  <c r="D21" i="2" s="1"/>
  <c r="H3" i="4" s="1"/>
  <c r="D12" i="2"/>
  <c r="R11" i="3"/>
  <c r="S14" i="2" s="1"/>
  <c r="S21" i="2" s="1"/>
  <c r="W3" i="4" s="1"/>
  <c r="S12" i="2"/>
  <c r="N11" i="3"/>
  <c r="O14" i="2" s="1"/>
  <c r="O21" i="2" s="1"/>
  <c r="S3" i="4" s="1"/>
  <c r="O12" i="2"/>
  <c r="J11" i="3"/>
  <c r="K14" i="2" s="1"/>
  <c r="K21" i="2" s="1"/>
  <c r="K12" i="2"/>
  <c r="F11" i="3"/>
  <c r="G14" i="2" s="1"/>
  <c r="G21" i="2" s="1"/>
  <c r="K3" i="4" s="1"/>
  <c r="G12" i="2"/>
  <c r="Q11" i="3"/>
  <c r="R14" i="2" s="1"/>
  <c r="R21" i="2" s="1"/>
  <c r="V3" i="4" s="1"/>
  <c r="R12" i="2"/>
  <c r="M11" i="3"/>
  <c r="N14" i="2" s="1"/>
  <c r="N21" i="2" s="1"/>
  <c r="R3" i="4" s="1"/>
  <c r="N12" i="2"/>
  <c r="I11" i="3"/>
  <c r="J14" i="2" s="1"/>
  <c r="J21" i="2" s="1"/>
  <c r="N3" i="4" s="1"/>
  <c r="J12" i="2"/>
  <c r="E11" i="3"/>
  <c r="F14" i="2" s="1"/>
  <c r="F21" i="2" s="1"/>
  <c r="J3" i="4" s="1"/>
  <c r="F12" i="2"/>
  <c r="B11" i="3"/>
  <c r="C14" i="2" s="1"/>
  <c r="C21" i="2" s="1"/>
  <c r="G3" i="4" s="1"/>
  <c r="G17" i="4" s="1"/>
  <c r="B12" i="3"/>
  <c r="G7" i="4" s="1"/>
  <c r="G8" i="4" s="1"/>
  <c r="O3" i="4" l="1"/>
  <c r="O28" i="4" s="1"/>
  <c r="H11" i="1"/>
  <c r="H12" i="4"/>
  <c r="E258" i="3"/>
  <c r="V41" i="4"/>
  <c r="V36" i="4"/>
  <c r="V30" i="4"/>
  <c r="V35" i="4"/>
  <c r="V34" i="4"/>
  <c r="V31" i="4"/>
  <c r="V29" i="4"/>
  <c r="V28" i="4"/>
  <c r="V33" i="4"/>
  <c r="V38" i="4"/>
  <c r="V32" i="4"/>
  <c r="V40" i="4"/>
  <c r="V39" i="4"/>
  <c r="V37" i="4"/>
  <c r="V27" i="4"/>
  <c r="W35" i="4"/>
  <c r="W33" i="4"/>
  <c r="W29" i="4"/>
  <c r="W30" i="4"/>
  <c r="W32" i="4"/>
  <c r="W39" i="4"/>
  <c r="W28" i="4"/>
  <c r="W41" i="4"/>
  <c r="W36" i="4"/>
  <c r="W38" i="4"/>
  <c r="W40" i="4"/>
  <c r="W34" i="4"/>
  <c r="W31" i="4"/>
  <c r="W37" i="4"/>
  <c r="T30" i="4"/>
  <c r="T32" i="4"/>
  <c r="T26" i="4"/>
  <c r="T28" i="4"/>
  <c r="T29" i="4"/>
  <c r="T41" i="4"/>
  <c r="T25" i="4"/>
  <c r="T36" i="4"/>
  <c r="T38" i="4"/>
  <c r="T40" i="4"/>
  <c r="T34" i="4"/>
  <c r="T39" i="4"/>
  <c r="T27" i="4"/>
  <c r="T37" i="4"/>
  <c r="T35" i="4"/>
  <c r="T33" i="4"/>
  <c r="T31" i="4"/>
  <c r="M36" i="4"/>
  <c r="M37" i="4"/>
  <c r="M35" i="4"/>
  <c r="M24" i="4"/>
  <c r="M26" i="4"/>
  <c r="M18" i="4"/>
  <c r="M31" i="4"/>
  <c r="M30" i="4"/>
  <c r="M32" i="4"/>
  <c r="M19" i="4"/>
  <c r="M25" i="4"/>
  <c r="M22" i="4"/>
  <c r="M28" i="4"/>
  <c r="M29" i="4"/>
  <c r="M33" i="4"/>
  <c r="M34" i="4"/>
  <c r="M20" i="4"/>
  <c r="M23" i="4"/>
  <c r="M39" i="4"/>
  <c r="M38" i="4"/>
  <c r="M40" i="4"/>
  <c r="M27" i="4"/>
  <c r="M41" i="4"/>
  <c r="M21" i="4"/>
  <c r="U36" i="4"/>
  <c r="U30" i="4"/>
  <c r="U32" i="4"/>
  <c r="U28" i="4"/>
  <c r="U31" i="4"/>
  <c r="U29" i="4"/>
  <c r="U34" i="4"/>
  <c r="U26" i="4"/>
  <c r="U38" i="4"/>
  <c r="U40" i="4"/>
  <c r="U27" i="4"/>
  <c r="U41" i="4"/>
  <c r="U39" i="4"/>
  <c r="U37" i="4"/>
  <c r="U35" i="4"/>
  <c r="U33" i="4"/>
  <c r="N33" i="4"/>
  <c r="N28" i="4"/>
  <c r="N29" i="4"/>
  <c r="N32" i="4"/>
  <c r="N27" i="4"/>
  <c r="N19" i="4"/>
  <c r="N39" i="4"/>
  <c r="N38" i="4"/>
  <c r="N35" i="4"/>
  <c r="N26" i="4"/>
  <c r="N24" i="4"/>
  <c r="N41" i="4"/>
  <c r="N36" i="4"/>
  <c r="N37" i="4"/>
  <c r="N22" i="4"/>
  <c r="N25" i="4"/>
  <c r="N20" i="4"/>
  <c r="N34" i="4"/>
  <c r="N31" i="4"/>
  <c r="N30" i="4"/>
  <c r="N21" i="4"/>
  <c r="N40" i="4"/>
  <c r="N23" i="4"/>
  <c r="O35" i="4"/>
  <c r="O27" i="4"/>
  <c r="O22" i="4"/>
  <c r="O41" i="4"/>
  <c r="O25" i="4"/>
  <c r="O29" i="4"/>
  <c r="O24" i="4"/>
  <c r="L17" i="4"/>
  <c r="L29" i="4"/>
  <c r="L41" i="4"/>
  <c r="L26" i="4"/>
  <c r="L28" i="4"/>
  <c r="L31" i="4"/>
  <c r="L24" i="4"/>
  <c r="L38" i="4"/>
  <c r="L40" i="4"/>
  <c r="L34" i="4"/>
  <c r="L25" i="4"/>
  <c r="L36" i="4"/>
  <c r="L22" i="4"/>
  <c r="L37" i="4"/>
  <c r="L35" i="4"/>
  <c r="L33" i="4"/>
  <c r="L19" i="4"/>
  <c r="L23" i="4"/>
  <c r="L21" i="4"/>
  <c r="L30" i="4"/>
  <c r="L32" i="4"/>
  <c r="L39" i="4"/>
  <c r="L18" i="4"/>
  <c r="L20" i="4"/>
  <c r="L27" i="4"/>
  <c r="Z39" i="4"/>
  <c r="Z37" i="4"/>
  <c r="Z41" i="4"/>
  <c r="Z36" i="4"/>
  <c r="Z40" i="4"/>
  <c r="Z34" i="4"/>
  <c r="Z31" i="4"/>
  <c r="Z32" i="4"/>
  <c r="Z33" i="4"/>
  <c r="Z38" i="4"/>
  <c r="Z35" i="4"/>
  <c r="J39" i="4"/>
  <c r="J38" i="4"/>
  <c r="J40" i="4"/>
  <c r="J27" i="4"/>
  <c r="J18" i="4"/>
  <c r="J20" i="4"/>
  <c r="J41" i="4"/>
  <c r="J36" i="4"/>
  <c r="J37" i="4"/>
  <c r="J22" i="4"/>
  <c r="J24" i="4"/>
  <c r="J23" i="4"/>
  <c r="J34" i="4"/>
  <c r="J31" i="4"/>
  <c r="J30" i="4"/>
  <c r="J21" i="4"/>
  <c r="J26" i="4"/>
  <c r="J19" i="4"/>
  <c r="J17" i="4"/>
  <c r="J33" i="4"/>
  <c r="J28" i="4"/>
  <c r="J29" i="4"/>
  <c r="J32" i="4"/>
  <c r="J25" i="4"/>
  <c r="J35" i="4"/>
  <c r="J15" i="4"/>
  <c r="J16" i="4"/>
  <c r="R34" i="4"/>
  <c r="R31" i="4"/>
  <c r="R30" i="4"/>
  <c r="R27" i="4"/>
  <c r="R23" i="4"/>
  <c r="R33" i="4"/>
  <c r="R28" i="4"/>
  <c r="R29" i="4"/>
  <c r="R24" i="4"/>
  <c r="R32" i="4"/>
  <c r="R39" i="4"/>
  <c r="R38" i="4"/>
  <c r="R40" i="4"/>
  <c r="R26" i="4"/>
  <c r="R41" i="4"/>
  <c r="R36" i="4"/>
  <c r="R37" i="4"/>
  <c r="R35" i="4"/>
  <c r="R25" i="4"/>
  <c r="K41" i="4"/>
  <c r="K36" i="4"/>
  <c r="K23" i="4"/>
  <c r="K27" i="4"/>
  <c r="K24" i="4"/>
  <c r="K26" i="4"/>
  <c r="K40" i="4"/>
  <c r="K34" i="4"/>
  <c r="K31" i="4"/>
  <c r="K20" i="4"/>
  <c r="K29" i="4"/>
  <c r="K25" i="4"/>
  <c r="K35" i="4"/>
  <c r="K33" i="4"/>
  <c r="K28" i="4"/>
  <c r="K18" i="4"/>
  <c r="K22" i="4"/>
  <c r="K38" i="4"/>
  <c r="K32" i="4"/>
  <c r="K39" i="4"/>
  <c r="K30" i="4"/>
  <c r="K37" i="4"/>
  <c r="K21" i="4"/>
  <c r="K19" i="4"/>
  <c r="K16" i="4"/>
  <c r="K17" i="4"/>
  <c r="S41" i="4"/>
  <c r="S36" i="4"/>
  <c r="S30" i="4"/>
  <c r="S26" i="4"/>
  <c r="S40" i="4"/>
  <c r="S34" i="4"/>
  <c r="S31" i="4"/>
  <c r="S27" i="4"/>
  <c r="S25" i="4"/>
  <c r="S35" i="4"/>
  <c r="S33" i="4"/>
  <c r="S28" i="4"/>
  <c r="S38" i="4"/>
  <c r="S24" i="4"/>
  <c r="S32" i="4"/>
  <c r="S39" i="4"/>
  <c r="S37" i="4"/>
  <c r="S29" i="4"/>
  <c r="H29" i="4"/>
  <c r="H41" i="4"/>
  <c r="H26" i="4"/>
  <c r="H31" i="4"/>
  <c r="H21" i="4"/>
  <c r="H24" i="4"/>
  <c r="H38" i="4"/>
  <c r="H40" i="4"/>
  <c r="H34" i="4"/>
  <c r="H25" i="4"/>
  <c r="H28" i="4"/>
  <c r="H22" i="4"/>
  <c r="H37" i="4"/>
  <c r="H35" i="4"/>
  <c r="H33" i="4"/>
  <c r="H19" i="4"/>
  <c r="H23" i="4"/>
  <c r="H39" i="4"/>
  <c r="H30" i="4"/>
  <c r="H32" i="4"/>
  <c r="H36" i="4"/>
  <c r="H18" i="4"/>
  <c r="H20" i="4"/>
  <c r="H27" i="4"/>
  <c r="H15" i="4"/>
  <c r="H14" i="4"/>
  <c r="H17" i="4"/>
  <c r="H13" i="4"/>
  <c r="H16" i="4"/>
  <c r="P37" i="4"/>
  <c r="P35" i="4"/>
  <c r="P33" i="4"/>
  <c r="P36" i="4"/>
  <c r="P27" i="4"/>
  <c r="P30" i="4"/>
  <c r="P32" i="4"/>
  <c r="P31" i="4"/>
  <c r="P39" i="4"/>
  <c r="P21" i="4"/>
  <c r="P29" i="4"/>
  <c r="P41" i="4"/>
  <c r="P26" i="4"/>
  <c r="P23" i="4"/>
  <c r="P24" i="4"/>
  <c r="P38" i="4"/>
  <c r="P40" i="4"/>
  <c r="P34" i="4"/>
  <c r="P25" i="4"/>
  <c r="P28" i="4"/>
  <c r="P22" i="4"/>
  <c r="X29" i="4"/>
  <c r="X41" i="4"/>
  <c r="X31" i="4"/>
  <c r="X38" i="4"/>
  <c r="X40" i="4"/>
  <c r="X34" i="4"/>
  <c r="X39" i="4"/>
  <c r="X37" i="4"/>
  <c r="X35" i="4"/>
  <c r="X33" i="4"/>
  <c r="X30" i="4"/>
  <c r="X32" i="4"/>
  <c r="X36" i="4"/>
  <c r="I36" i="4"/>
  <c r="I37" i="4"/>
  <c r="I35" i="4"/>
  <c r="I24" i="4"/>
  <c r="I25" i="4"/>
  <c r="I21" i="4"/>
  <c r="I31" i="4"/>
  <c r="I30" i="4"/>
  <c r="I32" i="4"/>
  <c r="I19" i="4"/>
  <c r="I23" i="4"/>
  <c r="I18" i="4"/>
  <c r="I28" i="4"/>
  <c r="I29" i="4"/>
  <c r="I41" i="4"/>
  <c r="I34" i="4"/>
  <c r="I22" i="4"/>
  <c r="I20" i="4"/>
  <c r="I39" i="4"/>
  <c r="I38" i="4"/>
  <c r="I40" i="4"/>
  <c r="I27" i="4"/>
  <c r="I26" i="4"/>
  <c r="I33" i="4"/>
  <c r="I16" i="4"/>
  <c r="I15" i="4"/>
  <c r="I14" i="4"/>
  <c r="I17" i="4"/>
  <c r="Q36" i="4"/>
  <c r="Q30" i="4"/>
  <c r="Q32" i="4"/>
  <c r="Q41" i="4"/>
  <c r="Q34" i="4"/>
  <c r="Q31" i="4"/>
  <c r="Q29" i="4"/>
  <c r="Q28" i="4"/>
  <c r="Q33" i="4"/>
  <c r="Q23" i="4"/>
  <c r="Q38" i="4"/>
  <c r="Q40" i="4"/>
  <c r="Q27" i="4"/>
  <c r="Q26" i="4"/>
  <c r="Q22" i="4"/>
  <c r="Q39" i="4"/>
  <c r="Q37" i="4"/>
  <c r="Q35" i="4"/>
  <c r="Q24" i="4"/>
  <c r="Q25" i="4"/>
  <c r="Y36" i="4"/>
  <c r="Y30" i="4"/>
  <c r="Y41" i="4"/>
  <c r="Y31" i="4"/>
  <c r="Y40" i="4"/>
  <c r="Y34" i="4"/>
  <c r="Y38" i="4"/>
  <c r="Y35" i="4"/>
  <c r="Y33" i="4"/>
  <c r="Y39" i="4"/>
  <c r="Y37" i="4"/>
  <c r="Y32" i="4"/>
  <c r="G40" i="4"/>
  <c r="G35" i="4"/>
  <c r="G32" i="4"/>
  <c r="G41" i="4"/>
  <c r="G34" i="4"/>
  <c r="G33" i="4"/>
  <c r="G39" i="4"/>
  <c r="G36" i="4"/>
  <c r="G31" i="4"/>
  <c r="G28" i="4"/>
  <c r="G29" i="4"/>
  <c r="G23" i="4"/>
  <c r="G20" i="4"/>
  <c r="G18" i="4"/>
  <c r="G38" i="4"/>
  <c r="G24" i="4"/>
  <c r="G37" i="4"/>
  <c r="G22" i="4"/>
  <c r="G21" i="4"/>
  <c r="G27" i="4"/>
  <c r="G19" i="4"/>
  <c r="G30" i="4"/>
  <c r="G26" i="4"/>
  <c r="G25" i="4"/>
  <c r="G16" i="4"/>
  <c r="G14" i="4"/>
  <c r="G15" i="4"/>
  <c r="G12" i="4"/>
  <c r="G13" i="4"/>
  <c r="C22" i="2"/>
  <c r="F11" i="1"/>
  <c r="C12" i="3"/>
  <c r="H7" i="4" s="1"/>
  <c r="C15" i="2"/>
  <c r="O40" i="4" l="1"/>
  <c r="O37" i="4"/>
  <c r="F13" i="1"/>
  <c r="F12" i="1"/>
  <c r="H13" i="1"/>
  <c r="H12" i="1"/>
  <c r="H8" i="4"/>
  <c r="I13" i="4" s="1"/>
  <c r="C12" i="4"/>
  <c r="B12" i="4" s="1"/>
  <c r="O20" i="4"/>
  <c r="O23" i="4"/>
  <c r="O38" i="4"/>
  <c r="O30" i="4"/>
  <c r="O34" i="4"/>
  <c r="O36" i="4"/>
  <c r="O39" i="4"/>
  <c r="O33" i="4"/>
  <c r="O31" i="4"/>
  <c r="O21" i="4"/>
  <c r="O26" i="4"/>
  <c r="O32" i="4"/>
  <c r="A12" i="4"/>
  <c r="G258" i="3"/>
  <c r="D12" i="3"/>
  <c r="I7" i="4" s="1"/>
  <c r="D15" i="2"/>
  <c r="C27" i="2"/>
  <c r="D22" i="2"/>
  <c r="C13" i="4" l="1"/>
  <c r="A13" i="4"/>
  <c r="C28" i="2" s="1"/>
  <c r="I8" i="4"/>
  <c r="J14" i="4" s="1"/>
  <c r="G9" i="4"/>
  <c r="C29" i="2" s="1"/>
  <c r="F259" i="3"/>
  <c r="D27" i="2"/>
  <c r="E22" i="2"/>
  <c r="E12" i="3"/>
  <c r="J7" i="4" s="1"/>
  <c r="E15" i="2"/>
  <c r="A14" i="4" l="1"/>
  <c r="D28" i="2" s="1"/>
  <c r="C14" i="4"/>
  <c r="J8" i="4"/>
  <c r="K15" i="4" s="1"/>
  <c r="H9" i="4"/>
  <c r="D29" i="2" s="1"/>
  <c r="B13" i="4"/>
  <c r="E259" i="3"/>
  <c r="F12" i="3"/>
  <c r="K7" i="4" s="1"/>
  <c r="F15" i="2"/>
  <c r="E27" i="2"/>
  <c r="F22" i="2"/>
  <c r="C15" i="4" l="1"/>
  <c r="J9" i="4" s="1"/>
  <c r="F29" i="2" s="1"/>
  <c r="A15" i="4"/>
  <c r="E28" i="2" s="1"/>
  <c r="K8" i="4"/>
  <c r="L16" i="4" s="1"/>
  <c r="I9" i="4"/>
  <c r="E29" i="2" s="1"/>
  <c r="B14" i="4"/>
  <c r="G259" i="3"/>
  <c r="F27" i="2"/>
  <c r="G22" i="2"/>
  <c r="G12" i="3"/>
  <c r="L7" i="4" s="1"/>
  <c r="G15" i="2"/>
  <c r="B15" i="4" l="1"/>
  <c r="C16" i="4"/>
  <c r="K9" i="4" s="1"/>
  <c r="G29" i="2" s="1"/>
  <c r="A16" i="4"/>
  <c r="F28" i="2" s="1"/>
  <c r="L8" i="4"/>
  <c r="M17" i="4" s="1"/>
  <c r="F260" i="3"/>
  <c r="G27" i="2"/>
  <c r="H22" i="2"/>
  <c r="H12" i="3"/>
  <c r="M7" i="4" s="1"/>
  <c r="H15" i="2"/>
  <c r="B16" i="4" l="1"/>
  <c r="C17" i="4"/>
  <c r="L9" i="4" s="1"/>
  <c r="H29" i="2" s="1"/>
  <c r="A17" i="4"/>
  <c r="G28" i="2" s="1"/>
  <c r="M8" i="4"/>
  <c r="N18" i="4" s="1"/>
  <c r="E260" i="3"/>
  <c r="H27" i="2"/>
  <c r="I22" i="2"/>
  <c r="I12" i="3"/>
  <c r="N7" i="4" s="1"/>
  <c r="I15" i="2"/>
  <c r="B17" i="4" l="1"/>
  <c r="A18" i="4"/>
  <c r="H28" i="2" s="1"/>
  <c r="C18" i="4"/>
  <c r="N8" i="4"/>
  <c r="O19" i="4" s="1"/>
  <c r="G260" i="3"/>
  <c r="I27" i="2"/>
  <c r="J22" i="2"/>
  <c r="J12" i="3"/>
  <c r="O7" i="4" s="1"/>
  <c r="J15" i="2"/>
  <c r="C19" i="4" l="1"/>
  <c r="A19" i="4"/>
  <c r="J28" i="2" s="1"/>
  <c r="O8" i="4"/>
  <c r="P20" i="4" s="1"/>
  <c r="M9" i="4"/>
  <c r="I29" i="2" s="1"/>
  <c r="B18" i="4"/>
  <c r="F261" i="3"/>
  <c r="J27" i="2"/>
  <c r="K22" i="2"/>
  <c r="K12" i="3"/>
  <c r="P7" i="4" s="1"/>
  <c r="K15" i="2"/>
  <c r="A20" i="4" l="1"/>
  <c r="C20" i="4"/>
  <c r="B20" i="4" s="1"/>
  <c r="P8" i="4"/>
  <c r="Q21" i="4" s="1"/>
  <c r="I28" i="2"/>
  <c r="N9" i="4"/>
  <c r="J29" i="2" s="1"/>
  <c r="B19" i="4"/>
  <c r="E261" i="3"/>
  <c r="K27" i="2"/>
  <c r="L22" i="2"/>
  <c r="L12" i="3"/>
  <c r="Q7" i="4" s="1"/>
  <c r="L15" i="2"/>
  <c r="P9" i="4" l="1"/>
  <c r="L29" i="2" s="1"/>
  <c r="O9" i="4"/>
  <c r="K29" i="2" s="1"/>
  <c r="A21" i="4"/>
  <c r="L28" i="2" s="1"/>
  <c r="C21" i="4"/>
  <c r="B21" i="4" s="1"/>
  <c r="Q8" i="4"/>
  <c r="R22" i="4" s="1"/>
  <c r="G261" i="3"/>
  <c r="L27" i="2"/>
  <c r="M22" i="2"/>
  <c r="M12" i="3"/>
  <c r="R7" i="4" s="1"/>
  <c r="M15" i="2"/>
  <c r="A22" i="4" l="1"/>
  <c r="M28" i="2" s="1"/>
  <c r="C22" i="4"/>
  <c r="Q9" i="4" s="1"/>
  <c r="M29" i="2" s="1"/>
  <c r="R8" i="4"/>
  <c r="S23" i="4" s="1"/>
  <c r="K28" i="2"/>
  <c r="F262" i="3"/>
  <c r="M27" i="2"/>
  <c r="N22" i="2"/>
  <c r="N12" i="3"/>
  <c r="S7" i="4" s="1"/>
  <c r="N15" i="2"/>
  <c r="B22" i="4" l="1"/>
  <c r="A23" i="4"/>
  <c r="N28" i="2" s="1"/>
  <c r="C23" i="4"/>
  <c r="S8" i="4"/>
  <c r="T24" i="4" s="1"/>
  <c r="E262" i="3"/>
  <c r="N27" i="2"/>
  <c r="O22" i="2"/>
  <c r="O12" i="3"/>
  <c r="T7" i="4" s="1"/>
  <c r="O15" i="2"/>
  <c r="C24" i="4" l="1"/>
  <c r="S9" i="4" s="1"/>
  <c r="O29" i="2" s="1"/>
  <c r="A24" i="4"/>
  <c r="O28" i="2" s="1"/>
  <c r="T8" i="4"/>
  <c r="U25" i="4" s="1"/>
  <c r="R9" i="4"/>
  <c r="N29" i="2" s="1"/>
  <c r="B23" i="4"/>
  <c r="G262" i="3"/>
  <c r="O27" i="2"/>
  <c r="P22" i="2"/>
  <c r="P12" i="3"/>
  <c r="U7" i="4" s="1"/>
  <c r="P15" i="2"/>
  <c r="B24" i="4" l="1"/>
  <c r="A25" i="4"/>
  <c r="P28" i="2" s="1"/>
  <c r="C25" i="4"/>
  <c r="U8" i="4"/>
  <c r="V26" i="4" s="1"/>
  <c r="F263" i="3"/>
  <c r="E263" i="3" s="1"/>
  <c r="G263" i="3" s="1"/>
  <c r="P27" i="2"/>
  <c r="Q22" i="2"/>
  <c r="Q12" i="3"/>
  <c r="V7" i="4" s="1"/>
  <c r="Q15" i="2"/>
  <c r="C26" i="4" l="1"/>
  <c r="B26" i="4" s="1"/>
  <c r="A26" i="4"/>
  <c r="Q28" i="2" s="1"/>
  <c r="V8" i="4"/>
  <c r="W27" i="4" s="1"/>
  <c r="T9" i="4"/>
  <c r="P29" i="2" s="1"/>
  <c r="B25" i="4"/>
  <c r="V9" i="4"/>
  <c r="R29" i="2" s="1"/>
  <c r="F264" i="3"/>
  <c r="E264" i="3" s="1"/>
  <c r="G264" i="3" s="1"/>
  <c r="Q27" i="2"/>
  <c r="R22" i="2"/>
  <c r="R12" i="3"/>
  <c r="W7" i="4" s="1"/>
  <c r="R15" i="2"/>
  <c r="U9" i="4" l="1"/>
  <c r="Q29" i="2" s="1"/>
  <c r="A27" i="4"/>
  <c r="R28" i="2" s="1"/>
  <c r="C27" i="4"/>
  <c r="B27" i="4" s="1"/>
  <c r="W8" i="4"/>
  <c r="X28" i="4" s="1"/>
  <c r="F265" i="3"/>
  <c r="E265" i="3" s="1"/>
  <c r="G265" i="3" s="1"/>
  <c r="R27" i="2"/>
  <c r="S22" i="2"/>
  <c r="S12" i="3"/>
  <c r="X7" i="4" s="1"/>
  <c r="S15" i="2"/>
  <c r="C28" i="4" l="1"/>
  <c r="A28" i="4"/>
  <c r="S28" i="2" s="1"/>
  <c r="X8" i="4"/>
  <c r="Y29" i="4" s="1"/>
  <c r="F266" i="3"/>
  <c r="E266" i="3" s="1"/>
  <c r="G266" i="3" s="1"/>
  <c r="S27" i="2"/>
  <c r="T22" i="2"/>
  <c r="T12" i="3"/>
  <c r="Y7" i="4" s="1"/>
  <c r="T15" i="2"/>
  <c r="A29" i="4" l="1"/>
  <c r="T28" i="2" s="1"/>
  <c r="C29" i="4"/>
  <c r="X9" i="4" s="1"/>
  <c r="T29" i="2" s="1"/>
  <c r="Y8" i="4"/>
  <c r="Z30" i="4" s="1"/>
  <c r="W9" i="4"/>
  <c r="S29" i="2" s="1"/>
  <c r="B28" i="4"/>
  <c r="F267" i="3"/>
  <c r="E267" i="3" s="1"/>
  <c r="G267" i="3" s="1"/>
  <c r="U12" i="3"/>
  <c r="Z7" i="4" s="1"/>
  <c r="U15" i="2"/>
  <c r="T27" i="2"/>
  <c r="U22" i="2"/>
  <c r="B29" i="4" l="1"/>
  <c r="A30" i="4"/>
  <c r="U28" i="2" s="1"/>
  <c r="C30" i="4"/>
  <c r="Z8" i="4"/>
  <c r="AA31" i="4" s="1"/>
  <c r="F268" i="3"/>
  <c r="E268" i="3" s="1"/>
  <c r="G268" i="3" s="1"/>
  <c r="U27" i="2"/>
  <c r="V22" i="2"/>
  <c r="V15" i="2"/>
  <c r="C31" i="4" l="1"/>
  <c r="B31" i="4" s="1"/>
  <c r="A31" i="4"/>
  <c r="V28" i="2" s="1"/>
  <c r="Y9" i="4"/>
  <c r="U29" i="2" s="1"/>
  <c r="B30" i="4"/>
  <c r="F269" i="3"/>
  <c r="E269" i="3" s="1"/>
  <c r="G269" i="3" s="1"/>
  <c r="V27" i="2"/>
  <c r="Z9" i="4" l="1"/>
  <c r="V29" i="2" s="1"/>
  <c r="F270" i="3"/>
  <c r="E270" i="3" l="1"/>
  <c r="G270" i="3" l="1"/>
  <c r="F271" i="3" l="1"/>
  <c r="E271" i="3" l="1"/>
  <c r="G271" i="3" l="1"/>
  <c r="F272" i="3" l="1"/>
  <c r="E272" i="3" l="1"/>
  <c r="G272" i="3" l="1"/>
  <c r="F273" i="3" l="1"/>
  <c r="E273" i="3" l="1"/>
  <c r="G273" i="3" l="1"/>
  <c r="F274" i="3" l="1"/>
  <c r="E274" i="3" l="1"/>
  <c r="G274" i="3" l="1"/>
  <c r="F275" i="3" l="1"/>
  <c r="E275" i="3" s="1"/>
  <c r="G275" i="3" s="1"/>
  <c r="F276" i="3" l="1"/>
  <c r="E276" i="3" s="1"/>
  <c r="G276" i="3" s="1"/>
  <c r="F277" i="3" l="1"/>
  <c r="E277" i="3" s="1"/>
  <c r="G277" i="3" s="1"/>
  <c r="F278" i="3" l="1"/>
  <c r="E278" i="3" s="1"/>
  <c r="G278" i="3" s="1"/>
  <c r="F279" i="3" l="1"/>
  <c r="E279" i="3" s="1"/>
  <c r="G279" i="3" s="1"/>
  <c r="F280" i="3" l="1"/>
  <c r="E280" i="3" s="1"/>
  <c r="G280" i="3" s="1"/>
  <c r="F281" i="3" l="1"/>
  <c r="E281" i="3" s="1"/>
  <c r="G281" i="3" s="1"/>
  <c r="F282" i="3" l="1"/>
  <c r="E282" i="3" l="1"/>
  <c r="G282" i="3" l="1"/>
  <c r="F283" i="3" l="1"/>
  <c r="E283" i="3" l="1"/>
  <c r="G283" i="3" l="1"/>
  <c r="F284" i="3" l="1"/>
  <c r="E284" i="3" l="1"/>
  <c r="G284" i="3" l="1"/>
  <c r="F285" i="3" l="1"/>
  <c r="E285" i="3" l="1"/>
  <c r="G285" i="3" l="1"/>
  <c r="F286" i="3" l="1"/>
  <c r="E286" i="3" l="1"/>
  <c r="G286" i="3" l="1"/>
  <c r="F287" i="3" l="1"/>
  <c r="E287" i="3" s="1"/>
  <c r="G287" i="3" s="1"/>
  <c r="F288" i="3" l="1"/>
  <c r="E288" i="3" s="1"/>
  <c r="G288" i="3" s="1"/>
  <c r="F289" i="3" l="1"/>
  <c r="E289" i="3" s="1"/>
  <c r="G289" i="3" s="1"/>
  <c r="F290" i="3" l="1"/>
  <c r="E290" i="3" s="1"/>
  <c r="G290" i="3" s="1"/>
  <c r="F291" i="3" l="1"/>
  <c r="E291" i="3" s="1"/>
  <c r="G291" i="3" s="1"/>
  <c r="F292" i="3" l="1"/>
  <c r="E292" i="3" s="1"/>
  <c r="G292" i="3" s="1"/>
  <c r="F293" i="3" l="1"/>
  <c r="E293" i="3" s="1"/>
  <c r="G293" i="3" s="1"/>
  <c r="F294" i="3" l="1"/>
  <c r="E294" i="3" l="1"/>
  <c r="G294" i="3" l="1"/>
  <c r="F295" i="3" l="1"/>
  <c r="E295" i="3" l="1"/>
  <c r="G295" i="3" l="1"/>
  <c r="F296" i="3" l="1"/>
  <c r="E296" i="3" l="1"/>
  <c r="G296" i="3" l="1"/>
  <c r="F297" i="3" l="1"/>
  <c r="E297" i="3" l="1"/>
  <c r="G297" i="3" l="1"/>
  <c r="F298" i="3" l="1"/>
  <c r="E298" i="3" l="1"/>
  <c r="G298" i="3" l="1"/>
  <c r="F299" i="3" l="1"/>
  <c r="E299" i="3" s="1"/>
  <c r="G299" i="3" s="1"/>
  <c r="F300" i="3" l="1"/>
  <c r="E300" i="3" s="1"/>
  <c r="G300" i="3" s="1"/>
  <c r="F301" i="3" l="1"/>
  <c r="E301" i="3" s="1"/>
  <c r="G301" i="3" s="1"/>
  <c r="F302" i="3" l="1"/>
  <c r="E302" i="3" s="1"/>
  <c r="G302" i="3" s="1"/>
  <c r="F303" i="3" l="1"/>
  <c r="E303" i="3" s="1"/>
  <c r="G303" i="3" s="1"/>
  <c r="F304" i="3" l="1"/>
  <c r="E304" i="3" s="1"/>
  <c r="G304" i="3" s="1"/>
  <c r="F305" i="3" l="1"/>
  <c r="E305" i="3" s="1"/>
  <c r="G305" i="3" s="1"/>
  <c r="F306" i="3" l="1"/>
  <c r="E306" i="3" l="1"/>
  <c r="G306" i="3" l="1"/>
  <c r="F307" i="3" l="1"/>
  <c r="E307" i="3" l="1"/>
  <c r="G307" i="3" l="1"/>
  <c r="F308" i="3" l="1"/>
  <c r="E308" i="3" l="1"/>
  <c r="G308" i="3" l="1"/>
  <c r="F309" i="3" l="1"/>
  <c r="E309" i="3" l="1"/>
  <c r="G309" i="3" l="1"/>
  <c r="F310" i="3" l="1"/>
  <c r="E310" i="3" l="1"/>
  <c r="G310" i="3" l="1"/>
  <c r="F311" i="3" l="1"/>
  <c r="E311" i="3" s="1"/>
  <c r="G311" i="3" s="1"/>
  <c r="F312" i="3" l="1"/>
  <c r="E312" i="3" s="1"/>
  <c r="G312" i="3" s="1"/>
  <c r="F313" i="3" l="1"/>
  <c r="E313" i="3" s="1"/>
  <c r="G313" i="3" s="1"/>
  <c r="F314" i="3" l="1"/>
  <c r="E314" i="3" s="1"/>
  <c r="G314" i="3" s="1"/>
  <c r="F315" i="3" l="1"/>
  <c r="E315" i="3" s="1"/>
  <c r="G315" i="3" s="1"/>
  <c r="F316" i="3" l="1"/>
  <c r="E316" i="3" s="1"/>
  <c r="G316" i="3" s="1"/>
  <c r="F317" i="3" l="1"/>
  <c r="E317" i="3" s="1"/>
  <c r="G317" i="3" s="1"/>
  <c r="F318" i="3" l="1"/>
  <c r="E318" i="3" l="1"/>
  <c r="G318" i="3" l="1"/>
  <c r="F319" i="3" l="1"/>
  <c r="E319" i="3" l="1"/>
  <c r="G319" i="3" l="1"/>
  <c r="F320" i="3" l="1"/>
  <c r="E320" i="3" l="1"/>
  <c r="G320" i="3" l="1"/>
  <c r="F321" i="3" l="1"/>
  <c r="E321" i="3" l="1"/>
  <c r="G321" i="3" l="1"/>
  <c r="F322" i="3" l="1"/>
  <c r="E322" i="3" l="1"/>
  <c r="G322" i="3" l="1"/>
  <c r="F323" i="3" l="1"/>
  <c r="E323" i="3" s="1"/>
  <c r="G323" i="3" s="1"/>
  <c r="F324" i="3" l="1"/>
  <c r="E324" i="3" s="1"/>
  <c r="G324" i="3" s="1"/>
  <c r="F325" i="3" l="1"/>
  <c r="E325" i="3" s="1"/>
  <c r="G325" i="3" s="1"/>
  <c r="F326" i="3" l="1"/>
  <c r="E326" i="3" s="1"/>
  <c r="G326" i="3" s="1"/>
  <c r="F327" i="3" l="1"/>
  <c r="E327" i="3" s="1"/>
  <c r="G327" i="3" s="1"/>
  <c r="F328" i="3" l="1"/>
  <c r="E328" i="3" s="1"/>
  <c r="G328" i="3" s="1"/>
  <c r="F329" i="3" l="1"/>
  <c r="E329" i="3" s="1"/>
  <c r="G329" i="3" s="1"/>
  <c r="F330" i="3" l="1"/>
  <c r="E330" i="3" l="1"/>
  <c r="G330" i="3" s="1"/>
  <c r="F331" i="3" l="1"/>
  <c r="E331" i="3" l="1"/>
  <c r="G331" i="3" s="1"/>
  <c r="F332" i="3" l="1"/>
  <c r="E332" i="3" l="1"/>
  <c r="G332" i="3" s="1"/>
  <c r="F333" i="3" l="1"/>
  <c r="E333" i="3" l="1"/>
  <c r="G333" i="3" l="1"/>
  <c r="F334" i="3" l="1"/>
  <c r="E334" i="3" l="1"/>
  <c r="G334" i="3" l="1"/>
  <c r="F335" i="3" l="1"/>
  <c r="E335" i="3" s="1"/>
  <c r="G335" i="3" l="1"/>
  <c r="F336" i="3" l="1"/>
  <c r="E336" i="3" s="1"/>
  <c r="G336" i="3" l="1"/>
  <c r="F337" i="3" l="1"/>
  <c r="E337" i="3" s="1"/>
  <c r="G337" i="3" s="1"/>
  <c r="F338" i="3" l="1"/>
  <c r="E338" i="3" s="1"/>
  <c r="G338" i="3" s="1"/>
  <c r="F339" i="3" l="1"/>
  <c r="E339" i="3" s="1"/>
  <c r="G339" i="3" s="1"/>
  <c r="F340" i="3" l="1"/>
  <c r="E340" i="3" s="1"/>
  <c r="G340" i="3" s="1"/>
  <c r="F341" i="3" l="1"/>
  <c r="E341" i="3" s="1"/>
  <c r="G341" i="3" s="1"/>
  <c r="F342" i="3" l="1"/>
  <c r="E342" i="3" l="1"/>
  <c r="G342" i="3" l="1"/>
  <c r="F343" i="3" l="1"/>
  <c r="E343" i="3" l="1"/>
  <c r="G343" i="3" l="1"/>
  <c r="F344" i="3" l="1"/>
  <c r="E344" i="3" l="1"/>
  <c r="G344" i="3" l="1"/>
  <c r="F345" i="3" l="1"/>
  <c r="E345" i="3" l="1"/>
  <c r="G345" i="3" l="1"/>
  <c r="F346" i="3" l="1"/>
  <c r="E346" i="3" l="1"/>
  <c r="G346" i="3" l="1"/>
  <c r="F347" i="3" l="1"/>
  <c r="E347" i="3" s="1"/>
  <c r="G347" i="3" s="1"/>
  <c r="F348" i="3" l="1"/>
  <c r="E348" i="3" s="1"/>
  <c r="G348" i="3" s="1"/>
  <c r="F349" i="3" l="1"/>
  <c r="E349" i="3" s="1"/>
  <c r="G349" i="3" s="1"/>
  <c r="F350" i="3" l="1"/>
  <c r="E350" i="3" s="1"/>
  <c r="G350" i="3" s="1"/>
  <c r="F351" i="3" l="1"/>
  <c r="E351" i="3" s="1"/>
  <c r="G351" i="3" s="1"/>
  <c r="F352" i="3" l="1"/>
  <c r="E352" i="3" s="1"/>
  <c r="G352" i="3" s="1"/>
  <c r="F353" i="3" l="1"/>
  <c r="E353" i="3" s="1"/>
  <c r="G353" i="3" s="1"/>
  <c r="F354" i="3" l="1"/>
  <c r="E354" i="3" l="1"/>
  <c r="G354" i="3" l="1"/>
  <c r="F355" i="3" l="1"/>
  <c r="E355" i="3" l="1"/>
  <c r="G355" i="3" l="1"/>
  <c r="F356" i="3" l="1"/>
  <c r="E356" i="3" l="1"/>
  <c r="G356" i="3" l="1"/>
  <c r="F357" i="3" l="1"/>
  <c r="E357" i="3" l="1"/>
  <c r="G357" i="3" l="1"/>
  <c r="F358" i="3" l="1"/>
  <c r="E358" i="3" l="1"/>
  <c r="G358" i="3" l="1"/>
  <c r="F359" i="3" l="1"/>
  <c r="E359" i="3" s="1"/>
  <c r="G359" i="3" s="1"/>
  <c r="F360" i="3" l="1"/>
  <c r="E360" i="3" s="1"/>
  <c r="G360" i="3" s="1"/>
  <c r="F361" i="3" l="1"/>
  <c r="E361" i="3" s="1"/>
  <c r="G361" i="3" s="1"/>
  <c r="F362" i="3" l="1"/>
  <c r="E362" i="3" s="1"/>
  <c r="G362" i="3" s="1"/>
  <c r="F363" i="3" l="1"/>
  <c r="E363" i="3" s="1"/>
  <c r="G363" i="3" s="1"/>
  <c r="F364" i="3" l="1"/>
  <c r="E364" i="3" s="1"/>
  <c r="G364" i="3" s="1"/>
  <c r="F365" i="3" l="1"/>
  <c r="E365" i="3" s="1"/>
  <c r="G365" i="3" s="1"/>
  <c r="F366" i="3" l="1"/>
  <c r="E366" i="3" l="1"/>
  <c r="G366" i="3" l="1"/>
  <c r="F367" i="3" l="1"/>
  <c r="E367" i="3" l="1"/>
  <c r="G367" i="3" l="1"/>
  <c r="F368" i="3" l="1"/>
  <c r="E368" i="3" l="1"/>
  <c r="G368" i="3" l="1"/>
  <c r="F369" i="3" l="1"/>
  <c r="E369" i="3" l="1"/>
  <c r="G369" i="3" l="1"/>
  <c r="F370" i="3" l="1"/>
  <c r="E370" i="3" l="1"/>
  <c r="G370" i="3" l="1"/>
  <c r="F371" i="3" l="1"/>
  <c r="E371" i="3" s="1"/>
  <c r="G371" i="3" s="1"/>
  <c r="F372" i="3" l="1"/>
  <c r="E372" i="3" s="1"/>
  <c r="G372" i="3" s="1"/>
  <c r="F373" i="3" l="1"/>
  <c r="E373" i="3" s="1"/>
  <c r="G373" i="3" s="1"/>
  <c r="F374" i="3" l="1"/>
  <c r="E374" i="3" s="1"/>
  <c r="G374" i="3" s="1"/>
  <c r="F375" i="3" l="1"/>
  <c r="E375" i="3" s="1"/>
  <c r="G375" i="3" s="1"/>
  <c r="F376" i="3" l="1"/>
  <c r="E376" i="3" s="1"/>
  <c r="G376" i="3" s="1"/>
  <c r="F377" i="3" l="1"/>
  <c r="E377" i="3" l="1"/>
  <c r="V10" i="3"/>
  <c r="W10" i="3"/>
  <c r="X10" i="3"/>
  <c r="Y10" i="3"/>
  <c r="Z10" i="3"/>
  <c r="AA10" i="3"/>
  <c r="AB10" i="3"/>
  <c r="AC10" i="3"/>
  <c r="AD10" i="3"/>
  <c r="AE10" i="3"/>
  <c r="AC13" i="2" l="1"/>
  <c r="AC17" i="2" s="1"/>
  <c r="AC18" i="2" s="1"/>
  <c r="AB14" i="3"/>
  <c r="Y13" i="2"/>
  <c r="X14" i="3"/>
  <c r="AF13" i="2"/>
  <c r="AE14" i="3"/>
  <c r="AB13" i="2"/>
  <c r="AA14" i="3"/>
  <c r="X13" i="2"/>
  <c r="X17" i="2" s="1"/>
  <c r="X18" i="2" s="1"/>
  <c r="W14" i="3"/>
  <c r="AA13" i="2"/>
  <c r="AA17" i="2" s="1"/>
  <c r="AA18" i="2" s="1"/>
  <c r="Z14" i="3"/>
  <c r="W13" i="2"/>
  <c r="V14" i="3"/>
  <c r="AE13" i="2"/>
  <c r="AE17" i="2" s="1"/>
  <c r="AE18" i="2" s="1"/>
  <c r="AD14" i="3"/>
  <c r="AD13" i="2"/>
  <c r="AD17" i="2" s="1"/>
  <c r="AD18" i="2" s="1"/>
  <c r="AC14" i="3"/>
  <c r="Z13" i="2"/>
  <c r="Z17" i="2" s="1"/>
  <c r="Z18" i="2" s="1"/>
  <c r="Y14" i="3"/>
  <c r="AF17" i="2"/>
  <c r="AF18" i="2" s="1"/>
  <c r="Y17" i="2"/>
  <c r="Y18" i="2" s="1"/>
  <c r="AB17" i="2"/>
  <c r="AB18" i="2" s="1"/>
  <c r="W17" i="2"/>
  <c r="W18" i="2" s="1"/>
  <c r="V9" i="3"/>
  <c r="W9" i="3"/>
  <c r="X9" i="3"/>
  <c r="Y9" i="3"/>
  <c r="Z9" i="3"/>
  <c r="AA9" i="3"/>
  <c r="AB9" i="3"/>
  <c r="AC9" i="3"/>
  <c r="AD9" i="3"/>
  <c r="AE9" i="3"/>
  <c r="G377" i="3"/>
  <c r="W19" i="2" l="1"/>
  <c r="X19" i="2" s="1"/>
  <c r="Y19" i="2" s="1"/>
  <c r="Z19" i="2" s="1"/>
  <c r="AA19" i="2" s="1"/>
  <c r="AB19" i="2" s="1"/>
  <c r="AC19" i="2" s="1"/>
  <c r="AD19" i="2" s="1"/>
  <c r="AE19" i="2" s="1"/>
  <c r="AF19" i="2" s="1"/>
  <c r="AD11" i="3"/>
  <c r="AE14" i="2" s="1"/>
  <c r="AE21" i="2" s="1"/>
  <c r="AI3" i="4" s="1"/>
  <c r="AE12" i="2"/>
  <c r="AD12" i="2"/>
  <c r="AC11" i="3"/>
  <c r="AD14" i="2" s="1"/>
  <c r="AD21" i="2" s="1"/>
  <c r="AH3" i="4" s="1"/>
  <c r="Y11" i="3"/>
  <c r="Z14" i="2" s="1"/>
  <c r="Z21" i="2" s="1"/>
  <c r="AD3" i="4" s="1"/>
  <c r="Z12" i="2"/>
  <c r="AC12" i="2"/>
  <c r="AB11" i="3"/>
  <c r="AC14" i="2" s="1"/>
  <c r="AC21" i="2" s="1"/>
  <c r="AG3" i="4" s="1"/>
  <c r="Y12" i="2"/>
  <c r="X11" i="3"/>
  <c r="Y14" i="2" s="1"/>
  <c r="AE11" i="3"/>
  <c r="AF14" i="2" s="1"/>
  <c r="AF21" i="2" s="1"/>
  <c r="AJ3" i="4" s="1"/>
  <c r="AJ41" i="4" s="1"/>
  <c r="AF12" i="2"/>
  <c r="AA11" i="3"/>
  <c r="AB14" i="2" s="1"/>
  <c r="AB21" i="2" s="1"/>
  <c r="AF3" i="4" s="1"/>
  <c r="AB12" i="2"/>
  <c r="W11" i="3"/>
  <c r="X14" i="2" s="1"/>
  <c r="X21" i="2" s="1"/>
  <c r="AB3" i="4" s="1"/>
  <c r="X12" i="2"/>
  <c r="AA12" i="2"/>
  <c r="Z11" i="3"/>
  <c r="AA14" i="2" s="1"/>
  <c r="AA21" i="2" s="1"/>
  <c r="AE3" i="4" s="1"/>
  <c r="W12" i="2"/>
  <c r="V11" i="3"/>
  <c r="W14" i="2" s="1"/>
  <c r="W21" i="2" s="1"/>
  <c r="V12" i="3"/>
  <c r="Y21" i="2"/>
  <c r="AC3" i="4" s="1"/>
  <c r="AF37" i="4" l="1"/>
  <c r="AF40" i="4"/>
  <c r="AF38" i="4"/>
  <c r="AF39" i="4"/>
  <c r="AF41" i="4"/>
  <c r="AA3" i="4"/>
  <c r="W22" i="2"/>
  <c r="X22" i="2" s="1"/>
  <c r="Y22" i="2" s="1"/>
  <c r="Z22" i="2" s="1"/>
  <c r="AA22" i="2" s="1"/>
  <c r="AB22" i="2" s="1"/>
  <c r="AC22" i="2" s="1"/>
  <c r="AD22" i="2" s="1"/>
  <c r="AE22" i="2" s="1"/>
  <c r="AF22" i="2" s="1"/>
  <c r="AE39" i="4"/>
  <c r="AE38" i="4"/>
  <c r="AE36" i="4"/>
  <c r="AE40" i="4"/>
  <c r="AE37" i="4"/>
  <c r="AE41" i="4"/>
  <c r="AH41" i="4"/>
  <c r="AH40" i="4"/>
  <c r="AH39" i="4"/>
  <c r="AG41" i="4"/>
  <c r="AG38" i="4"/>
  <c r="AG39" i="4"/>
  <c r="AG40" i="4"/>
  <c r="AD38" i="4"/>
  <c r="AD39" i="4"/>
  <c r="AD40" i="4"/>
  <c r="AD37" i="4"/>
  <c r="AD35" i="4"/>
  <c r="AD36" i="4"/>
  <c r="AD41" i="4"/>
  <c r="AC36" i="4"/>
  <c r="AC40" i="4"/>
  <c r="AC41" i="4"/>
  <c r="AC34" i="4"/>
  <c r="AC35" i="4"/>
  <c r="AC39" i="4"/>
  <c r="AC38" i="4"/>
  <c r="AC37" i="4"/>
  <c r="AA7" i="4"/>
  <c r="W12" i="3"/>
  <c r="W15" i="2"/>
  <c r="AB38" i="4"/>
  <c r="AB37" i="4"/>
  <c r="AB35" i="4"/>
  <c r="AB33" i="4"/>
  <c r="AB36" i="4"/>
  <c r="AB39" i="4"/>
  <c r="AB34" i="4"/>
  <c r="AB40" i="4"/>
  <c r="AB41" i="4"/>
  <c r="AI40" i="4"/>
  <c r="AI41" i="4"/>
  <c r="AA8" i="4" l="1"/>
  <c r="AB32" i="4" s="1"/>
  <c r="W27" i="2"/>
  <c r="AA34" i="4"/>
  <c r="AA37" i="4"/>
  <c r="AA36" i="4"/>
  <c r="AA39" i="4"/>
  <c r="AA41" i="4"/>
  <c r="AA38" i="4"/>
  <c r="AA35" i="4"/>
  <c r="AA33" i="4"/>
  <c r="AA32" i="4"/>
  <c r="AA40" i="4"/>
  <c r="AB7" i="4"/>
  <c r="X12" i="3"/>
  <c r="X15" i="2"/>
  <c r="X27" i="2" s="1"/>
  <c r="AB8" i="4" l="1"/>
  <c r="AC33" i="4" s="1"/>
  <c r="A32" i="4"/>
  <c r="W28" i="2" s="1"/>
  <c r="C32" i="4"/>
  <c r="AC7" i="4"/>
  <c r="Y12" i="3"/>
  <c r="Y15" i="2"/>
  <c r="Y27" i="2" s="1"/>
  <c r="C33" i="4" l="1"/>
  <c r="A33" i="4"/>
  <c r="X28" i="2" s="1"/>
  <c r="AC8" i="4"/>
  <c r="AD34" i="4" s="1"/>
  <c r="AA9" i="4"/>
  <c r="W29" i="2" s="1"/>
  <c r="B32" i="4"/>
  <c r="AD7" i="4"/>
  <c r="Z15" i="2"/>
  <c r="Z27" i="2" s="1"/>
  <c r="Z12" i="3"/>
  <c r="A34" i="4" l="1"/>
  <c r="Y28" i="2" s="1"/>
  <c r="C34" i="4"/>
  <c r="AC9" i="4" s="1"/>
  <c r="Y29" i="2" s="1"/>
  <c r="AD8" i="4"/>
  <c r="AE35" i="4" s="1"/>
  <c r="AB9" i="4"/>
  <c r="X29" i="2" s="1"/>
  <c r="B33" i="4"/>
  <c r="AE7" i="4"/>
  <c r="AA12" i="3"/>
  <c r="AA15" i="2"/>
  <c r="AA27" i="2" s="1"/>
  <c r="B34" i="4" l="1"/>
  <c r="A35" i="4"/>
  <c r="Z28" i="2" s="1"/>
  <c r="C35" i="4"/>
  <c r="AE8" i="4"/>
  <c r="AF36" i="4" s="1"/>
  <c r="AF7" i="4"/>
  <c r="AB12" i="3"/>
  <c r="AB15" i="2"/>
  <c r="AB27" i="2" s="1"/>
  <c r="C36" i="4" l="1"/>
  <c r="AE9" i="4" s="1"/>
  <c r="AA29" i="2" s="1"/>
  <c r="A36" i="4"/>
  <c r="AA28" i="2" s="1"/>
  <c r="AF8" i="4"/>
  <c r="AG37" i="4" s="1"/>
  <c r="AD9" i="4"/>
  <c r="Z29" i="2" s="1"/>
  <c r="B35" i="4"/>
  <c r="AG7" i="4"/>
  <c r="AC15" i="2"/>
  <c r="AC27" i="2" s="1"/>
  <c r="AC12" i="3"/>
  <c r="B36" i="4" l="1"/>
  <c r="A37" i="4"/>
  <c r="AB28" i="2" s="1"/>
  <c r="C37" i="4"/>
  <c r="AG8" i="4"/>
  <c r="AH38" i="4" s="1"/>
  <c r="AH7" i="4"/>
  <c r="AD12" i="3"/>
  <c r="AD15" i="2"/>
  <c r="AD27" i="2" s="1"/>
  <c r="C38" i="4" l="1"/>
  <c r="AG9" i="4" s="1"/>
  <c r="AC29" i="2" s="1"/>
  <c r="A38" i="4"/>
  <c r="AC28" i="2" s="1"/>
  <c r="AH8" i="4"/>
  <c r="AI39" i="4" s="1"/>
  <c r="AF9" i="4"/>
  <c r="AB29" i="2" s="1"/>
  <c r="B37" i="4"/>
  <c r="AI7" i="4"/>
  <c r="AE12" i="3"/>
  <c r="AE15" i="2"/>
  <c r="AE27" i="2" s="1"/>
  <c r="B38" i="4" l="1"/>
  <c r="A39" i="4"/>
  <c r="AD28" i="2" s="1"/>
  <c r="C39" i="4"/>
  <c r="AI8" i="4"/>
  <c r="AJ40" i="4" s="1"/>
  <c r="AF15" i="2"/>
  <c r="AF27" i="2" s="1"/>
  <c r="AJ7" i="4"/>
  <c r="C40" i="4" l="1"/>
  <c r="AI9" i="4" s="1"/>
  <c r="AE29" i="2" s="1"/>
  <c r="A40" i="4"/>
  <c r="AE28" i="2" s="1"/>
  <c r="AJ8" i="4"/>
  <c r="AK41" i="4" s="1"/>
  <c r="AH9" i="4"/>
  <c r="AD29" i="2" s="1"/>
  <c r="B39" i="4"/>
  <c r="B40" i="4" l="1"/>
  <c r="A41" i="4"/>
  <c r="AF28" i="2" s="1"/>
  <c r="C41" i="4"/>
  <c r="AJ9" i="4" l="1"/>
  <c r="AF29" i="2" s="1"/>
  <c r="B41" i="4"/>
</calcChain>
</file>

<file path=xl/sharedStrings.xml><?xml version="1.0" encoding="utf-8"?>
<sst xmlns="http://schemas.openxmlformats.org/spreadsheetml/2006/main" count="130" uniqueCount="110">
  <si>
    <t>物件名</t>
    <rPh sb="0" eb="2">
      <t>ブッケン</t>
    </rPh>
    <rPh sb="2" eb="3">
      <t>メイ</t>
    </rPh>
    <phoneticPr fontId="2"/>
  </si>
  <si>
    <t>物件価格</t>
    <rPh sb="0" eb="2">
      <t>ブッケン</t>
    </rPh>
    <rPh sb="2" eb="4">
      <t>カカク</t>
    </rPh>
    <phoneticPr fontId="2"/>
  </si>
  <si>
    <t>年間賃料</t>
    <rPh sb="0" eb="2">
      <t>ネンカン</t>
    </rPh>
    <rPh sb="2" eb="4">
      <t>チンリョウ</t>
    </rPh>
    <phoneticPr fontId="2"/>
  </si>
  <si>
    <t>表面利回り</t>
    <rPh sb="0" eb="2">
      <t>ヒョウメン</t>
    </rPh>
    <rPh sb="2" eb="4">
      <t>リマワ</t>
    </rPh>
    <phoneticPr fontId="2"/>
  </si>
  <si>
    <t>購入時総投資額</t>
    <rPh sb="0" eb="3">
      <t>コウニュウジ</t>
    </rPh>
    <rPh sb="3" eb="7">
      <t>ソウトウシガク</t>
    </rPh>
    <phoneticPr fontId="2"/>
  </si>
  <si>
    <t>実質利回り</t>
    <rPh sb="0" eb="2">
      <t>ジッシツ</t>
    </rPh>
    <rPh sb="2" eb="4">
      <t>リマワ</t>
    </rPh>
    <phoneticPr fontId="2"/>
  </si>
  <si>
    <t>利回り計算</t>
    <rPh sb="0" eb="2">
      <t>リマワ</t>
    </rPh>
    <rPh sb="3" eb="5">
      <t>ケイサン</t>
    </rPh>
    <phoneticPr fontId="2"/>
  </si>
  <si>
    <t>購入時リフォーム費用</t>
    <rPh sb="0" eb="3">
      <t>コウニュウジ</t>
    </rPh>
    <rPh sb="8" eb="10">
      <t>ヒヨウ</t>
    </rPh>
    <phoneticPr fontId="2"/>
  </si>
  <si>
    <t>税率</t>
    <rPh sb="0" eb="2">
      <t>ゼイリツ</t>
    </rPh>
    <phoneticPr fontId="2"/>
  </si>
  <si>
    <t>税引き後利益</t>
    <rPh sb="0" eb="2">
      <t>ゼイビ</t>
    </rPh>
    <rPh sb="3" eb="4">
      <t>ゴ</t>
    </rPh>
    <rPh sb="4" eb="6">
      <t>リエキ</t>
    </rPh>
    <phoneticPr fontId="2"/>
  </si>
  <si>
    <t>月間ローン返済</t>
    <rPh sb="0" eb="2">
      <t>ゲッカン</t>
    </rPh>
    <rPh sb="5" eb="7">
      <t>ヘンサイ</t>
    </rPh>
    <phoneticPr fontId="2"/>
  </si>
  <si>
    <t>月間賃料</t>
    <rPh sb="0" eb="2">
      <t>ゲッカン</t>
    </rPh>
    <rPh sb="2" eb="4">
      <t>チンリョウ</t>
    </rPh>
    <phoneticPr fontId="2"/>
  </si>
  <si>
    <t>自己資金</t>
    <rPh sb="0" eb="2">
      <t>ジコ</t>
    </rPh>
    <rPh sb="2" eb="4">
      <t>シキン</t>
    </rPh>
    <phoneticPr fontId="2"/>
  </si>
  <si>
    <t>借入額</t>
    <rPh sb="0" eb="2">
      <t>カリイレ</t>
    </rPh>
    <rPh sb="2" eb="3">
      <t>ガク</t>
    </rPh>
    <phoneticPr fontId="2"/>
  </si>
  <si>
    <t>運営経費（空室損含む）</t>
    <rPh sb="0" eb="2">
      <t>ウンエイ</t>
    </rPh>
    <rPh sb="2" eb="4">
      <t>ケイヒ</t>
    </rPh>
    <phoneticPr fontId="2"/>
  </si>
  <si>
    <t>購入時費用</t>
    <rPh sb="0" eb="3">
      <t>コウニュウジ</t>
    </rPh>
    <rPh sb="3" eb="5">
      <t>ヒヨウ</t>
    </rPh>
    <phoneticPr fontId="2"/>
  </si>
  <si>
    <t>ローン期間</t>
    <rPh sb="3" eb="5">
      <t>キカン</t>
    </rPh>
    <phoneticPr fontId="2"/>
  </si>
  <si>
    <t>金利</t>
    <rPh sb="0" eb="2">
      <t>キンリ</t>
    </rPh>
    <phoneticPr fontId="2"/>
  </si>
  <si>
    <t>年間ローン返済</t>
    <rPh sb="0" eb="2">
      <t>ネンカン</t>
    </rPh>
    <rPh sb="5" eb="7">
      <t>ヘンサイ</t>
    </rPh>
    <phoneticPr fontId="2"/>
  </si>
  <si>
    <t>返済比率（返済/家賃）</t>
    <rPh sb="0" eb="2">
      <t>ヘンサイ</t>
    </rPh>
    <rPh sb="2" eb="4">
      <t>ヒリツ</t>
    </rPh>
    <rPh sb="5" eb="7">
      <t>ヘンサイ</t>
    </rPh>
    <rPh sb="8" eb="10">
      <t>ヤチン</t>
    </rPh>
    <phoneticPr fontId="2"/>
  </si>
  <si>
    <t>年間賃料</t>
    <rPh sb="0" eb="2">
      <t>ネンカン</t>
    </rPh>
    <rPh sb="2" eb="4">
      <t>チンリョウ</t>
    </rPh>
    <phoneticPr fontId="2"/>
  </si>
  <si>
    <t>年間賃料下落率</t>
    <rPh sb="0" eb="2">
      <t>ネンカン</t>
    </rPh>
    <rPh sb="2" eb="4">
      <t>チンリョウ</t>
    </rPh>
    <rPh sb="4" eb="6">
      <t>ゲラク</t>
    </rPh>
    <rPh sb="6" eb="7">
      <t>リツ</t>
    </rPh>
    <phoneticPr fontId="2"/>
  </si>
  <si>
    <t xml:space="preserve">運営経費% </t>
    <rPh sb="0" eb="2">
      <t>ウンエイ</t>
    </rPh>
    <rPh sb="2" eb="4">
      <t>ケイヒ</t>
    </rPh>
    <phoneticPr fontId="2"/>
  </si>
  <si>
    <t>（空室含む）</t>
    <rPh sb="1" eb="3">
      <t>クウシツ</t>
    </rPh>
    <rPh sb="3" eb="4">
      <t>フク</t>
    </rPh>
    <phoneticPr fontId="2"/>
  </si>
  <si>
    <t>税率%</t>
    <rPh sb="0" eb="2">
      <t>ゼイリツ</t>
    </rPh>
    <phoneticPr fontId="2"/>
  </si>
  <si>
    <t>年間実質賃料</t>
    <rPh sb="0" eb="2">
      <t>ネンカン</t>
    </rPh>
    <rPh sb="2" eb="4">
      <t>ジッシツ</t>
    </rPh>
    <rPh sb="4" eb="6">
      <t>チンリョウ</t>
    </rPh>
    <phoneticPr fontId="2"/>
  </si>
  <si>
    <t>累計税引き後利益</t>
    <rPh sb="0" eb="2">
      <t>ルイケイ</t>
    </rPh>
    <rPh sb="2" eb="4">
      <t>ゼイビ</t>
    </rPh>
    <rPh sb="5" eb="6">
      <t>ゴ</t>
    </rPh>
    <rPh sb="6" eb="8">
      <t>リエキ</t>
    </rPh>
    <phoneticPr fontId="2"/>
  </si>
  <si>
    <t>耐用年数</t>
    <rPh sb="0" eb="2">
      <t>タイヨウ</t>
    </rPh>
    <rPh sb="2" eb="4">
      <t>ネンスウ</t>
    </rPh>
    <phoneticPr fontId="2"/>
  </si>
  <si>
    <t>建物構造  (RC=47, 重量鉄骨=34, 木造=22年)</t>
    <rPh sb="0" eb="2">
      <t>タテモノ</t>
    </rPh>
    <rPh sb="2" eb="4">
      <t>コウゾウ</t>
    </rPh>
    <rPh sb="14" eb="16">
      <t>ジュウリョウ</t>
    </rPh>
    <rPh sb="16" eb="18">
      <t>テッコツ</t>
    </rPh>
    <rPh sb="23" eb="25">
      <t>モクゾウ</t>
    </rPh>
    <rPh sb="28" eb="29">
      <t>ネン</t>
    </rPh>
    <phoneticPr fontId="2"/>
  </si>
  <si>
    <t>大規模修繕費（10年おき）</t>
    <rPh sb="0" eb="3">
      <t>ダイキボ</t>
    </rPh>
    <rPh sb="3" eb="5">
      <t>シュウゼン</t>
    </rPh>
    <rPh sb="5" eb="6">
      <t>ヒ</t>
    </rPh>
    <rPh sb="9" eb="10">
      <t>ネン</t>
    </rPh>
    <phoneticPr fontId="2"/>
  </si>
  <si>
    <t xml:space="preserve">運営経費% （空室損含む） </t>
    <rPh sb="0" eb="2">
      <t>ウンエイ</t>
    </rPh>
    <rPh sb="2" eb="4">
      <t>ケイヒ</t>
    </rPh>
    <rPh sb="7" eb="9">
      <t>クウシツ</t>
    </rPh>
    <rPh sb="9" eb="10">
      <t>ソン</t>
    </rPh>
    <rPh sb="10" eb="11">
      <t>フク</t>
    </rPh>
    <phoneticPr fontId="2"/>
  </si>
  <si>
    <t>購入時費用（取得税含む）  %</t>
    <rPh sb="0" eb="3">
      <t>コウニュウジ</t>
    </rPh>
    <rPh sb="3" eb="5">
      <t>ヒヨウ</t>
    </rPh>
    <rPh sb="6" eb="8">
      <t>シュトク</t>
    </rPh>
    <rPh sb="8" eb="9">
      <t>ゼイ</t>
    </rPh>
    <rPh sb="9" eb="10">
      <t>フク</t>
    </rPh>
    <phoneticPr fontId="2"/>
  </si>
  <si>
    <t>年数</t>
    <rPh sb="0" eb="2">
      <t>ネンスウ</t>
    </rPh>
    <phoneticPr fontId="2"/>
  </si>
  <si>
    <t>年間減価償却費</t>
    <rPh sb="0" eb="2">
      <t>ネンカン</t>
    </rPh>
    <rPh sb="2" eb="4">
      <t>ゲンカ</t>
    </rPh>
    <rPh sb="4" eb="6">
      <t>ショウキャク</t>
    </rPh>
    <rPh sb="6" eb="7">
      <t>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</si>
  <si>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</si>
  <si>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税額</t>
    <rPh sb="0" eb="2">
      <t>ゼイガク</t>
    </rPh>
    <phoneticPr fontId="2"/>
  </si>
  <si>
    <t>大規模修繕（運営経費に）</t>
    <rPh sb="0" eb="3">
      <t>ダイキボ</t>
    </rPh>
    <rPh sb="3" eb="5">
      <t>シュウゼン</t>
    </rPh>
    <rPh sb="6" eb="8">
      <t>ウンエイ</t>
    </rPh>
    <rPh sb="8" eb="10">
      <t>ケイヒ</t>
    </rPh>
    <phoneticPr fontId="2"/>
  </si>
  <si>
    <t>土地価値</t>
    <rPh sb="0" eb="2">
      <t>トチ</t>
    </rPh>
    <rPh sb="2" eb="4">
      <t>カチ</t>
    </rPh>
    <phoneticPr fontId="2"/>
  </si>
  <si>
    <t>建物残存価値</t>
    <rPh sb="0" eb="2">
      <t>タテモノ</t>
    </rPh>
    <rPh sb="2" eb="4">
      <t>ザンゾン</t>
    </rPh>
    <rPh sb="4" eb="6">
      <t>カチ</t>
    </rPh>
    <phoneticPr fontId="2"/>
  </si>
  <si>
    <t>購入時建物価格</t>
    <rPh sb="0" eb="3">
      <t>コウニュウジ</t>
    </rPh>
    <rPh sb="3" eb="5">
      <t>タテモノ</t>
    </rPh>
    <rPh sb="5" eb="7">
      <t>カカク</t>
    </rPh>
    <phoneticPr fontId="2"/>
  </si>
  <si>
    <t>購入時</t>
    <rPh sb="0" eb="3">
      <t>コウニュウジ</t>
    </rPh>
    <phoneticPr fontId="2"/>
  </si>
  <si>
    <t>回数</t>
    <rPh sb="0" eb="1">
      <t>カイ</t>
    </rPh>
    <rPh sb="1" eb="2">
      <t>スウ</t>
    </rPh>
    <phoneticPr fontId="2"/>
  </si>
  <si>
    <t>返済額計</t>
    <rPh sb="0" eb="2">
      <t>ヘンサイ</t>
    </rPh>
    <rPh sb="2" eb="3">
      <t>ガク</t>
    </rPh>
    <rPh sb="3" eb="4">
      <t>ケイ</t>
    </rPh>
    <phoneticPr fontId="2"/>
  </si>
  <si>
    <t>返済額</t>
    <rPh sb="0" eb="2">
      <t>ヘンサイ</t>
    </rPh>
    <rPh sb="2" eb="3">
      <t>ガク</t>
    </rPh>
    <phoneticPr fontId="2"/>
  </si>
  <si>
    <t>内元金</t>
    <rPh sb="0" eb="1">
      <t>ウチ</t>
    </rPh>
    <rPh sb="1" eb="3">
      <t>ガンキン</t>
    </rPh>
    <phoneticPr fontId="2"/>
  </si>
  <si>
    <t>内利息</t>
    <rPh sb="0" eb="1">
      <t>ウチ</t>
    </rPh>
    <rPh sb="1" eb="3">
      <t>リソク</t>
    </rPh>
    <phoneticPr fontId="2"/>
  </si>
  <si>
    <t>元本残高</t>
    <rPh sb="0" eb="2">
      <t>ガンポン</t>
    </rPh>
    <rPh sb="2" eb="3">
      <t>ザン</t>
    </rPh>
    <rPh sb="3" eb="4">
      <t>タカ</t>
    </rPh>
    <phoneticPr fontId="2"/>
  </si>
  <si>
    <t>年</t>
    <rPh sb="0" eb="1">
      <t>ネン</t>
    </rPh>
    <phoneticPr fontId="2"/>
  </si>
  <si>
    <t>ローン期間（年）</t>
    <rPh sb="3" eb="5">
      <t>キカン</t>
    </rPh>
    <rPh sb="6" eb="7">
      <t>ネン</t>
    </rPh>
    <phoneticPr fontId="2"/>
  </si>
  <si>
    <t>元金</t>
    <rPh sb="0" eb="2">
      <t>ガンキン</t>
    </rPh>
    <phoneticPr fontId="2"/>
  </si>
  <si>
    <t>合計</t>
    <rPh sb="0" eb="2">
      <t>ゴウケイ</t>
    </rPh>
    <phoneticPr fontId="2"/>
  </si>
  <si>
    <t>ローン返済（年）</t>
    <rPh sb="3" eb="5">
      <t>ヘンサイ</t>
    </rPh>
    <rPh sb="6" eb="7">
      <t>ネン</t>
    </rPh>
    <phoneticPr fontId="2"/>
  </si>
  <si>
    <t>ローン残債</t>
    <rPh sb="3" eb="5">
      <t>ザンサイ</t>
    </rPh>
    <phoneticPr fontId="2"/>
  </si>
  <si>
    <t>償却資産</t>
    <rPh sb="0" eb="2">
      <t>ショウキャク</t>
    </rPh>
    <rPh sb="2" eb="4">
      <t>シサン</t>
    </rPh>
    <phoneticPr fontId="2"/>
  </si>
  <si>
    <t>取得税含</t>
    <rPh sb="0" eb="2">
      <t>シュトク</t>
    </rPh>
    <rPh sb="2" eb="3">
      <t>ゼイ</t>
    </rPh>
    <rPh sb="3" eb="4">
      <t>フク</t>
    </rPh>
    <phoneticPr fontId="2"/>
  </si>
  <si>
    <t>1年目</t>
    <rPh sb="1" eb="2">
      <t>ネン</t>
    </rPh>
    <rPh sb="2" eb="3">
      <t>メ</t>
    </rPh>
    <phoneticPr fontId="2"/>
  </si>
  <si>
    <t>利息</t>
    <rPh sb="0" eb="2">
      <t>リソク</t>
    </rPh>
    <phoneticPr fontId="2"/>
  </si>
  <si>
    <t>建物+ﾘﾌｫｰﾑ</t>
    <rPh sb="0" eb="2">
      <t>タテモノ</t>
    </rPh>
    <phoneticPr fontId="2"/>
  </si>
  <si>
    <t>税引き、返済後CF</t>
    <rPh sb="0" eb="2">
      <t>ゼイビ</t>
    </rPh>
    <rPh sb="4" eb="6">
      <t>ヘンサイ</t>
    </rPh>
    <rPh sb="6" eb="7">
      <t>ゴ</t>
    </rPh>
    <phoneticPr fontId="2"/>
  </si>
  <si>
    <t>返済後CF</t>
    <rPh sb="0" eb="2">
      <t>ヘンサイ</t>
    </rPh>
    <rPh sb="2" eb="3">
      <t>ゴ</t>
    </rPh>
    <phoneticPr fontId="2"/>
  </si>
  <si>
    <t>1年間CF</t>
    <rPh sb="1" eb="3">
      <t>ネンカン</t>
    </rPh>
    <phoneticPr fontId="2"/>
  </si>
  <si>
    <t>2年間CF</t>
    <rPh sb="1" eb="3">
      <t>ネンカン</t>
    </rPh>
    <phoneticPr fontId="2"/>
  </si>
  <si>
    <t>3年間CF</t>
    <rPh sb="1" eb="3">
      <t>ネンカン</t>
    </rPh>
    <phoneticPr fontId="2"/>
  </si>
  <si>
    <t>4年間CF</t>
    <rPh sb="1" eb="3">
      <t>ネンカン</t>
    </rPh>
    <phoneticPr fontId="2"/>
  </si>
  <si>
    <t>5年間CF</t>
    <rPh sb="1" eb="3">
      <t>ネンカン</t>
    </rPh>
    <phoneticPr fontId="2"/>
  </si>
  <si>
    <t>6年間CF</t>
    <rPh sb="1" eb="3">
      <t>ネンカン</t>
    </rPh>
    <phoneticPr fontId="2"/>
  </si>
  <si>
    <t>7年間CF</t>
    <rPh sb="1" eb="3">
      <t>ネンカン</t>
    </rPh>
    <phoneticPr fontId="2"/>
  </si>
  <si>
    <t>8年間CF</t>
    <rPh sb="1" eb="3">
      <t>ネンカン</t>
    </rPh>
    <phoneticPr fontId="2"/>
  </si>
  <si>
    <t>9年間CF</t>
    <rPh sb="1" eb="3">
      <t>ネンカン</t>
    </rPh>
    <phoneticPr fontId="2"/>
  </si>
  <si>
    <t>10年間CF</t>
    <rPh sb="2" eb="4">
      <t>ネンカン</t>
    </rPh>
    <phoneticPr fontId="2"/>
  </si>
  <si>
    <t>11年間CF</t>
    <rPh sb="2" eb="4">
      <t>ネンカン</t>
    </rPh>
    <phoneticPr fontId="2"/>
  </si>
  <si>
    <t>12年間CF</t>
    <rPh sb="2" eb="4">
      <t>ネンカン</t>
    </rPh>
    <phoneticPr fontId="2"/>
  </si>
  <si>
    <t>13年間CF</t>
    <rPh sb="2" eb="4">
      <t>ネンカン</t>
    </rPh>
    <phoneticPr fontId="2"/>
  </si>
  <si>
    <t>14年間CF</t>
    <rPh sb="2" eb="4">
      <t>ネンカン</t>
    </rPh>
    <phoneticPr fontId="2"/>
  </si>
  <si>
    <t>15年間CF</t>
    <rPh sb="2" eb="4">
      <t>ネンカン</t>
    </rPh>
    <phoneticPr fontId="2"/>
  </si>
  <si>
    <t>16年間CF</t>
    <rPh sb="2" eb="4">
      <t>ネンカン</t>
    </rPh>
    <phoneticPr fontId="2"/>
  </si>
  <si>
    <t>17年間CF</t>
    <rPh sb="2" eb="4">
      <t>ネンカン</t>
    </rPh>
    <phoneticPr fontId="2"/>
  </si>
  <si>
    <t>18年間CF</t>
    <rPh sb="2" eb="4">
      <t>ネンカン</t>
    </rPh>
    <phoneticPr fontId="2"/>
  </si>
  <si>
    <t>19年間CF</t>
    <rPh sb="2" eb="4">
      <t>ネンカン</t>
    </rPh>
    <phoneticPr fontId="2"/>
  </si>
  <si>
    <t>20年間CF</t>
    <rPh sb="2" eb="4">
      <t>ネンカン</t>
    </rPh>
    <phoneticPr fontId="2"/>
  </si>
  <si>
    <t>21年間CF</t>
    <rPh sb="2" eb="4">
      <t>ネンカン</t>
    </rPh>
    <phoneticPr fontId="2"/>
  </si>
  <si>
    <t>22年間CF</t>
    <rPh sb="2" eb="4">
      <t>ネンカン</t>
    </rPh>
    <phoneticPr fontId="2"/>
  </si>
  <si>
    <t>23年間CF</t>
    <rPh sb="2" eb="4">
      <t>ネンカン</t>
    </rPh>
    <phoneticPr fontId="2"/>
  </si>
  <si>
    <t>24年間CF</t>
    <rPh sb="2" eb="4">
      <t>ネンカン</t>
    </rPh>
    <phoneticPr fontId="2"/>
  </si>
  <si>
    <t>25年間CF</t>
    <rPh sb="2" eb="4">
      <t>ネンカン</t>
    </rPh>
    <phoneticPr fontId="2"/>
  </si>
  <si>
    <t>26年間CF</t>
    <rPh sb="2" eb="4">
      <t>ネンカン</t>
    </rPh>
    <phoneticPr fontId="2"/>
  </si>
  <si>
    <t>27年間CF</t>
    <rPh sb="2" eb="4">
      <t>ネンカン</t>
    </rPh>
    <phoneticPr fontId="2"/>
  </si>
  <si>
    <t>28年間CF</t>
    <rPh sb="2" eb="4">
      <t>ネンカン</t>
    </rPh>
    <phoneticPr fontId="2"/>
  </si>
  <si>
    <t>29年間CF</t>
    <rPh sb="2" eb="4">
      <t>ネンカン</t>
    </rPh>
    <phoneticPr fontId="2"/>
  </si>
  <si>
    <t>30年間CF</t>
    <rPh sb="2" eb="4">
      <t>ネンカン</t>
    </rPh>
    <phoneticPr fontId="2"/>
  </si>
  <si>
    <t>売却値(下落率)</t>
    <rPh sb="0" eb="2">
      <t>バイキャク</t>
    </rPh>
    <rPh sb="2" eb="3">
      <t>ネ</t>
    </rPh>
    <rPh sb="4" eb="7">
      <t>ゲラクリツ</t>
    </rPh>
    <phoneticPr fontId="2"/>
  </si>
  <si>
    <t>税、手数料引き後売却CF</t>
    <rPh sb="0" eb="1">
      <t>ゼイ</t>
    </rPh>
    <rPh sb="2" eb="5">
      <t>テスウリョウ</t>
    </rPh>
    <rPh sb="5" eb="6">
      <t>ヒ</t>
    </rPh>
    <rPh sb="7" eb="8">
      <t>ゴ</t>
    </rPh>
    <rPh sb="8" eb="10">
      <t>バイキャク</t>
    </rPh>
    <phoneticPr fontId="2"/>
  </si>
  <si>
    <t>土地建物簿価</t>
    <rPh sb="0" eb="2">
      <t>トチ</t>
    </rPh>
    <rPh sb="2" eb="4">
      <t>タテモノ</t>
    </rPh>
    <rPh sb="4" eb="6">
      <t>ボカ</t>
    </rPh>
    <phoneticPr fontId="2"/>
  </si>
  <si>
    <t>IRR</t>
    <phoneticPr fontId="2"/>
  </si>
  <si>
    <t>年間実質賃料（ﾈｯﾄｲﾝｶﾑ）　</t>
    <rPh sb="0" eb="2">
      <t>ネンカン</t>
    </rPh>
    <rPh sb="2" eb="4">
      <t>ジッシツ</t>
    </rPh>
    <rPh sb="4" eb="6">
      <t>チンリョウ</t>
    </rPh>
    <phoneticPr fontId="2"/>
  </si>
  <si>
    <t>累計CF</t>
    <rPh sb="0" eb="2">
      <t>ルイケイ</t>
    </rPh>
    <phoneticPr fontId="2"/>
  </si>
  <si>
    <t>税引き後CF</t>
    <rPh sb="0" eb="2">
      <t>ゼイビ</t>
    </rPh>
    <rPh sb="3" eb="4">
      <t>ゴ</t>
    </rPh>
    <phoneticPr fontId="2"/>
  </si>
  <si>
    <t>純資産簿価(土地建物+CF)</t>
    <rPh sb="0" eb="3">
      <t>ジュンシサン</t>
    </rPh>
    <rPh sb="3" eb="5">
      <t>ボカ</t>
    </rPh>
    <rPh sb="6" eb="8">
      <t>トチ</t>
    </rPh>
    <rPh sb="8" eb="10">
      <t>タテモノ</t>
    </rPh>
    <phoneticPr fontId="2"/>
  </si>
  <si>
    <t>1年目</t>
    <rPh sb="1" eb="3">
      <t>ネンメ</t>
    </rPh>
    <phoneticPr fontId="2"/>
  </si>
  <si>
    <t>9年目</t>
    <rPh sb="1" eb="3">
      <t>ネンメ</t>
    </rPh>
    <phoneticPr fontId="2"/>
  </si>
  <si>
    <t>売却時累計CF</t>
    <rPh sb="0" eb="2">
      <t>バイキャク</t>
    </rPh>
    <rPh sb="2" eb="3">
      <t>ジ</t>
    </rPh>
    <rPh sb="3" eb="5">
      <t>ルイケイ</t>
    </rPh>
    <phoneticPr fontId="2"/>
  </si>
  <si>
    <t>築年数(経過年数）</t>
    <rPh sb="0" eb="2">
      <t>チクネン</t>
    </rPh>
    <rPh sb="2" eb="3">
      <t>スウ</t>
    </rPh>
    <rPh sb="4" eb="6">
      <t>ケイカ</t>
    </rPh>
    <rPh sb="6" eb="8">
      <t>ネンスウ</t>
    </rPh>
    <phoneticPr fontId="2"/>
  </si>
  <si>
    <t>建物価格（リフォーム含む）</t>
    <rPh sb="0" eb="2">
      <t>タテモノ</t>
    </rPh>
    <rPh sb="2" eb="4">
      <t>カカク</t>
    </rPh>
    <rPh sb="10" eb="11">
      <t>フク</t>
    </rPh>
    <phoneticPr fontId="2"/>
  </si>
  <si>
    <t>キャッシュ利回り CCR</t>
    <rPh sb="5" eb="7">
      <t>リマワ</t>
    </rPh>
    <phoneticPr fontId="2"/>
  </si>
  <si>
    <t>売却益(費用5%）</t>
    <rPh sb="0" eb="2">
      <t>バイキャク</t>
    </rPh>
    <rPh sb="2" eb="3">
      <t>エキ</t>
    </rPh>
    <rPh sb="4" eb="6">
      <t>ヒヨウ</t>
    </rPh>
    <phoneticPr fontId="2"/>
  </si>
  <si>
    <t>RRI</t>
    <phoneticPr fontId="2"/>
  </si>
  <si>
    <t>月間CF</t>
    <rPh sb="0" eb="2">
      <t>ゲッカン</t>
    </rPh>
    <phoneticPr fontId="2"/>
  </si>
  <si>
    <t>年間経費</t>
    <rPh sb="0" eb="2">
      <t>ネンカン</t>
    </rPh>
    <rPh sb="2" eb="4">
      <t>ケイヒ</t>
    </rPh>
    <phoneticPr fontId="2"/>
  </si>
  <si>
    <t>レバレッジ</t>
    <phoneticPr fontId="2"/>
  </si>
  <si>
    <t>倍</t>
    <rPh sb="0" eb="1">
      <t>バイ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</si>
</sst>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.0%"/>
    <numFmt numFmtId="177" formatCode="&quot;¥&quot;#,##0_);[Red]\(&quot;¥&quot;#,##0\)"/>
    <numFmt numFmtId="178" formatCode="&quot;¥&quot;#,##0.0;[Red]&quot;¥&quot;\-#,##0.0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177" fontId="0" fillId="0" borderId="4" xfId="0" applyNumberFormat="1" applyBorder="1">
      <alignment vertical="center"/>
    </xf>
    <xf numFmtId="177" fontId="0" fillId="4" borderId="2" xfId="0" applyNumberFormat="1" applyFill="1" applyBorder="1">
      <alignment vertical="center"/>
    </xf>
    <xf numFmtId="0" fontId="4" fillId="4" borderId="4" xfId="0" applyFont="1" applyFill="1" applyBorder="1">
      <alignment vertical="center"/>
    </xf>
    <xf numFmtId="6" fontId="0" fillId="0" borderId="4" xfId="0" applyNumberFormat="1" applyBorder="1">
      <alignment vertical="center"/>
    </xf>
    <xf numFmtId="9" fontId="4" fillId="4" borderId="4" xfId="2" applyFont="1" applyFill="1" applyBorder="1">
      <alignment vertical="center"/>
    </xf>
    <xf numFmtId="0" fontId="0" fillId="0" borderId="0" xfId="0" applyBorder="1">
      <alignment vertical="center"/>
    </xf>
    <xf numFmtId="177" fontId="0" fillId="0" borderId="0" xfId="2" applyNumberFormat="1" applyFont="1" applyFill="1" applyBorder="1">
      <alignment vertical="center"/>
    </xf>
    <xf numFmtId="0" fontId="0" fillId="0" borderId="5" xfId="0" applyBorder="1">
      <alignment vertical="center"/>
    </xf>
    <xf numFmtId="177" fontId="0" fillId="4" borderId="5" xfId="1" applyNumberFormat="1" applyFont="1" applyFill="1" applyBorder="1">
      <alignment vertical="center"/>
    </xf>
    <xf numFmtId="177" fontId="0" fillId="0" borderId="0" xfId="0" applyNumberFormat="1">
      <alignment vertical="center"/>
    </xf>
    <xf numFmtId="9" fontId="0" fillId="3" borderId="5" xfId="2" applyFont="1" applyFill="1" applyBorder="1">
      <alignment vertical="center"/>
    </xf>
    <xf numFmtId="0" fontId="0" fillId="0" borderId="5" xfId="0" applyFill="1" applyBorder="1">
      <alignment vertical="center"/>
    </xf>
    <xf numFmtId="6" fontId="0" fillId="0" borderId="0" xfId="0" applyNumberFormat="1">
      <alignment vertical="center"/>
    </xf>
    <xf numFmtId="0" fontId="0" fillId="0" borderId="0" xfId="0" applyFill="1" applyBorder="1">
      <alignment vertical="center"/>
    </xf>
    <xf numFmtId="176" fontId="0" fillId="0" borderId="0" xfId="2" applyNumberFormat="1" applyFont="1" applyFill="1" applyBorder="1">
      <alignment vertical="center"/>
    </xf>
    <xf numFmtId="0" fontId="0" fillId="0" borderId="0" xfId="0" applyFill="1">
      <alignment vertical="center"/>
    </xf>
    <xf numFmtId="6" fontId="0" fillId="3" borderId="0" xfId="0" applyNumberFormat="1" applyFill="1">
      <alignment vertical="center"/>
    </xf>
    <xf numFmtId="0" fontId="0" fillId="2" borderId="5" xfId="0" applyFill="1" applyBorder="1">
      <alignment vertical="center"/>
    </xf>
    <xf numFmtId="176" fontId="0" fillId="2" borderId="5" xfId="2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6" fontId="0" fillId="0" borderId="0" xfId="0" applyNumberFormat="1" applyAlignment="1">
      <alignment vertical="center"/>
    </xf>
    <xf numFmtId="177" fontId="0" fillId="0" borderId="0" xfId="0" applyNumberFormat="1" applyAlignment="1">
      <alignment horizontal="right" vertical="center"/>
    </xf>
    <xf numFmtId="6" fontId="0" fillId="0" borderId="0" xfId="0" applyNumberFormat="1" applyAlignment="1">
      <alignment horizontal="right" vertical="center"/>
    </xf>
    <xf numFmtId="9" fontId="0" fillId="0" borderId="0" xfId="2" applyFont="1">
      <alignment vertical="center"/>
    </xf>
    <xf numFmtId="6" fontId="0" fillId="4" borderId="0" xfId="0" applyNumberFormat="1" applyFill="1">
      <alignment vertical="center"/>
    </xf>
    <xf numFmtId="6" fontId="0" fillId="0" borderId="0" xfId="0" applyNumberFormat="1" applyFill="1">
      <alignment vertical="center"/>
    </xf>
    <xf numFmtId="9" fontId="0" fillId="0" borderId="0" xfId="0" applyNumberFormat="1">
      <alignment vertical="center"/>
    </xf>
    <xf numFmtId="0" fontId="0" fillId="3" borderId="5" xfId="0" applyFill="1" applyBorder="1">
      <alignment vertical="center"/>
    </xf>
    <xf numFmtId="9" fontId="0" fillId="0" borderId="5" xfId="2" applyFont="1" applyFill="1" applyBorder="1">
      <alignment vertical="center"/>
    </xf>
    <xf numFmtId="177" fontId="0" fillId="0" borderId="5" xfId="1" applyNumberFormat="1" applyFont="1" applyFill="1" applyBorder="1">
      <alignment vertical="center"/>
    </xf>
    <xf numFmtId="0" fontId="0" fillId="0" borderId="6" xfId="0" applyFill="1" applyBorder="1">
      <alignment vertical="center"/>
    </xf>
    <xf numFmtId="177" fontId="0" fillId="0" borderId="7" xfId="0" applyNumberFormat="1" applyFill="1" applyBorder="1">
      <alignment vertical="center"/>
    </xf>
    <xf numFmtId="177" fontId="0" fillId="0" borderId="5" xfId="1" applyNumberFormat="1" applyFont="1" applyBorder="1">
      <alignment vertical="center"/>
    </xf>
    <xf numFmtId="177" fontId="0" fillId="0" borderId="5" xfId="0" applyNumberFormat="1" applyBorder="1">
      <alignment vertical="center"/>
    </xf>
    <xf numFmtId="1" fontId="0" fillId="0" borderId="5" xfId="0" applyNumberFormat="1" applyBorder="1">
      <alignment vertical="center"/>
    </xf>
    <xf numFmtId="9" fontId="4" fillId="4" borderId="5" xfId="2" applyFont="1" applyFill="1" applyBorder="1">
      <alignment vertical="center"/>
    </xf>
    <xf numFmtId="6" fontId="0" fillId="0" borderId="5" xfId="0" applyNumberFormat="1" applyBorder="1">
      <alignment vertical="center"/>
    </xf>
    <xf numFmtId="176" fontId="0" fillId="0" borderId="5" xfId="2" applyNumberFormat="1" applyFont="1" applyBorder="1">
      <alignment vertical="center"/>
    </xf>
    <xf numFmtId="0" fontId="0" fillId="0" borderId="8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8" xfId="0" applyBorder="1">
      <alignment vertical="center"/>
    </xf>
    <xf numFmtId="177" fontId="0" fillId="0" borderId="8" xfId="0" applyNumberFormat="1" applyBorder="1">
      <alignment vertical="center"/>
    </xf>
    <xf numFmtId="0" fontId="0" fillId="2" borderId="9" xfId="0" applyFill="1" applyBorder="1">
      <alignment vertical="center"/>
    </xf>
    <xf numFmtId="176" fontId="0" fillId="2" borderId="9" xfId="2" applyNumberFormat="1" applyFont="1" applyFill="1" applyBorder="1">
      <alignment vertical="center"/>
    </xf>
    <xf numFmtId="9" fontId="0" fillId="0" borderId="0" xfId="2" applyFont="1" applyFill="1">
      <alignment vertical="center"/>
    </xf>
    <xf numFmtId="9" fontId="0" fillId="0" borderId="0" xfId="2" applyFont="1" applyAlignment="1">
      <alignment horizontal="right" vertical="center"/>
    </xf>
    <xf numFmtId="177" fontId="0" fillId="3" borderId="5" xfId="0" applyNumberFormat="1" applyFill="1" applyBorder="1">
      <alignment vertical="center"/>
    </xf>
    <xf numFmtId="6" fontId="0" fillId="0" borderId="0" xfId="2" applyNumberFormat="1" applyFont="1">
      <alignment vertical="center"/>
    </xf>
    <xf numFmtId="9" fontId="0" fillId="4" borderId="8" xfId="2" applyFont="1" applyFill="1" applyBorder="1">
      <alignment vertical="center"/>
    </xf>
    <xf numFmtId="9" fontId="0" fillId="4" borderId="5" xfId="2" applyFont="1" applyFill="1" applyBorder="1">
      <alignment vertical="center"/>
    </xf>
    <xf numFmtId="177" fontId="0" fillId="4" borderId="8" xfId="1" applyNumberFormat="1" applyFont="1" applyFill="1" applyBorder="1">
      <alignment vertical="center"/>
    </xf>
    <xf numFmtId="9" fontId="0" fillId="4" borderId="9" xfId="2" applyFont="1" applyFill="1" applyBorder="1">
      <alignment vertical="center"/>
    </xf>
    <xf numFmtId="6" fontId="0" fillId="6" borderId="0" xfId="0" applyNumberFormat="1" applyFill="1">
      <alignment vertical="center"/>
    </xf>
    <xf numFmtId="6" fontId="0" fillId="6" borderId="0" xfId="2" applyNumberFormat="1" applyFont="1" applyFill="1">
      <alignment vertical="center"/>
    </xf>
    <xf numFmtId="177" fontId="0" fillId="4" borderId="8" xfId="0" applyNumberFormat="1" applyFill="1" applyBorder="1">
      <alignment vertical="center"/>
    </xf>
    <xf numFmtId="0" fontId="0" fillId="3" borderId="9" xfId="0" applyFill="1" applyBorder="1">
      <alignment vertical="center"/>
    </xf>
    <xf numFmtId="177" fontId="0" fillId="0" borderId="5" xfId="0" applyNumberFormat="1" applyFill="1" applyBorder="1">
      <alignment vertical="center"/>
    </xf>
    <xf numFmtId="6" fontId="0" fillId="0" borderId="0" xfId="2" applyNumberFormat="1" applyFont="1" applyFill="1" applyBorder="1">
      <alignment vertical="center"/>
    </xf>
    <xf numFmtId="0" fontId="0" fillId="0" borderId="0" xfId="0" quotePrefix="1" applyFill="1" applyBorder="1" applyAlignment="1">
      <alignment horizontal="center" vertical="center"/>
    </xf>
    <xf numFmtId="0" fontId="0" fillId="0" borderId="9" xfId="0" applyBorder="1">
      <alignment vertical="center"/>
    </xf>
    <xf numFmtId="0" fontId="4" fillId="4" borderId="9" xfId="0" applyFont="1" applyFill="1" applyBorder="1">
      <alignment vertical="center"/>
    </xf>
    <xf numFmtId="0" fontId="0" fillId="0" borderId="6" xfId="0" applyBorder="1">
      <alignment vertical="center"/>
    </xf>
    <xf numFmtId="177" fontId="0" fillId="0" borderId="7" xfId="0" applyNumberFormat="1" applyBorder="1">
      <alignment vertical="center"/>
    </xf>
    <xf numFmtId="178" fontId="0" fillId="6" borderId="0" xfId="0" applyNumberFormat="1" applyFill="1">
      <alignment vertical="center"/>
    </xf>
    <xf numFmtId="178" fontId="0" fillId="6" borderId="0" xfId="2" applyNumberFormat="1" applyFont="1" applyFill="1">
      <alignment vertical="center"/>
    </xf>
    <xf numFmtId="0" fontId="0" fillId="0" borderId="12" xfId="0" applyFill="1" applyBorder="1">
      <alignment vertical="center"/>
    </xf>
    <xf numFmtId="177" fontId="0" fillId="0" borderId="13" xfId="2" applyNumberFormat="1" applyFont="1" applyFill="1" applyBorder="1">
      <alignment vertical="center"/>
    </xf>
    <xf numFmtId="0" fontId="0" fillId="5" borderId="5" xfId="0" applyFill="1" applyBorder="1">
      <alignment vertical="center"/>
    </xf>
    <xf numFmtId="176" fontId="0" fillId="5" borderId="5" xfId="2" applyNumberFormat="1" applyFont="1" applyFill="1" applyBorder="1">
      <alignment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6" fontId="0" fillId="0" borderId="0" xfId="0" applyNumberFormat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ＣＦ、累計ＣＦ、純資産簿価推移、売却時累計</a:t>
            </a:r>
            <a:r>
              <a:rPr lang="en-US" altLang="ja-JP" b="1"/>
              <a:t>CF</a:t>
            </a:r>
            <a:endParaRPr lang="ja-JP" altLang="en-US" b="1"/>
          </a:p>
        </c:rich>
      </c:tx>
      <c:layout>
        <c:manualLayout>
          <c:xMode val="edge"/>
          <c:yMode val="edge"/>
          <c:x val="0.33739837398373984"/>
          <c:y val="1.9212295869356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8"/>
          <c:tx>
            <c:strRef>
              <c:f>年推移!$A$21</c:f>
              <c:strCache>
                <c:ptCount val="1"/>
                <c:pt idx="0">
                  <c:v>税引き後CF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年推移!$B$21:$AF$21</c:f>
              <c:numCache>
                <c:formatCode>"¥"#,##0_);[Red]\("¥"#,##0\)</c:formatCode>
                <c:ptCount val="31"/>
                <c:pt idx="0">
                  <c:v>-4000000</c:v>
                </c:pt>
                <c:pt idx="1">
                  <c:v>1010666.0315703985</c:v>
                </c:pt>
                <c:pt idx="2">
                  <c:v>985694.9315703985</c:v>
                </c:pt>
                <c:pt idx="3">
                  <c:v>960600.53157039848</c:v>
                </c:pt>
                <c:pt idx="4">
                  <c:v>935371.46757039847</c:v>
                </c:pt>
                <c:pt idx="5">
                  <c:v>909990.69321039855</c:v>
                </c:pt>
                <c:pt idx="6">
                  <c:v>884444.7795939981</c:v>
                </c:pt>
                <c:pt idx="7">
                  <c:v>858717.61511376244</c:v>
                </c:pt>
                <c:pt idx="8">
                  <c:v>832793.70527832862</c:v>
                </c:pt>
                <c:pt idx="9">
                  <c:v>806655.77254124917</c:v>
                </c:pt>
                <c:pt idx="10">
                  <c:v>-6854.047627969645</c:v>
                </c:pt>
                <c:pt idx="11">
                  <c:v>767307.87552229292</c:v>
                </c:pt>
                <c:pt idx="12">
                  <c:v>740424.97571913758</c:v>
                </c:pt>
                <c:pt idx="13">
                  <c:v>713255.50891401363</c:v>
                </c:pt>
                <c:pt idx="14">
                  <c:v>685781.67977694119</c:v>
                </c:pt>
                <c:pt idx="15">
                  <c:v>315123.46607409685</c:v>
                </c:pt>
                <c:pt idx="16">
                  <c:v>286976.18993685173</c:v>
                </c:pt>
                <c:pt idx="17">
                  <c:v>258459.2605609796</c:v>
                </c:pt>
                <c:pt idx="18">
                  <c:v>229550.44547886599</c:v>
                </c:pt>
                <c:pt idx="19">
                  <c:v>200225.42754757358</c:v>
                </c:pt>
                <c:pt idx="20">
                  <c:v>-515902.23156804213</c:v>
                </c:pt>
                <c:pt idx="21">
                  <c:v>1470060.5651942422</c:v>
                </c:pt>
                <c:pt idx="22">
                  <c:v>1455632.6868150269</c:v>
                </c:pt>
                <c:pt idx="23">
                  <c:v>1441349.0872196038</c:v>
                </c:pt>
                <c:pt idx="24">
                  <c:v>1427208.3236201352</c:v>
                </c:pt>
                <c:pt idx="25">
                  <c:v>1413208.9676566613</c:v>
                </c:pt>
                <c:pt idx="26">
                  <c:v>1399349.6052528217</c:v>
                </c:pt>
                <c:pt idx="27">
                  <c:v>1385628.8364730207</c:v>
                </c:pt>
                <c:pt idx="28">
                  <c:v>1372045.2753810179</c:v>
                </c:pt>
                <c:pt idx="29">
                  <c:v>1358597.5498999348</c:v>
                </c:pt>
                <c:pt idx="30">
                  <c:v>658920.66531002638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C1-45A9-8DDA-7FF9919FF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6391759"/>
        <c:axId val="34811055"/>
      </c:barChart>
      <c:lineChart>
        <c:grouping val="standard"/>
        <c:varyColors val="0"/>
        <c:ser>
          <c:idx val="2"/>
          <c:order val="0"/>
          <c:tx>
            <c:strRef>
              <c:f>年推移!$A$8</c:f>
              <c:strCache>
                <c:ptCount val="1"/>
                <c:pt idx="0">
                  <c:v>大規模修繕（運営経費に）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年推移!$B$8:$AF$8</c:f>
              <c:numCache>
                <c:formatCode>"¥"#,##0_);[Red]\("¥"#,##0\)</c:formatCode>
                <c:ptCount val="31"/>
                <c:pt idx="10">
                  <c:v>-1000000</c:v>
                </c:pt>
                <c:pt idx="20">
                  <c:v>-1000000</c:v>
                </c:pt>
                <c:pt idx="30">
                  <c:v>-1000000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B1-43DF-941E-15AD9F6AF1E2}"/>
            </c:ext>
          </c:extLst>
        </c:ser>
        <c:ser>
          <c:idx val="5"/>
          <c:order val="1"/>
          <c:tx>
            <c:strRef>
              <c:f>年推移!$A$11</c:f>
              <c:strCache>
                <c:ptCount val="1"/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年推移!$B$11:$AF$11</c:f>
              <c:numCache>
                <c:formatCode>"¥"#,##0_);[Red]\("¥"#,##0\)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3B1-43DF-941E-15AD9F6AF1E2}"/>
            </c:ext>
          </c:extLst>
        </c:ser>
        <c:ser>
          <c:idx val="10"/>
          <c:order val="2"/>
          <c:tx>
            <c:strRef>
              <c:f>年推移!$A$16</c:f>
              <c:strCache>
                <c:ptCount val="1"/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年推移!$B$16:$AF$16</c:f>
              <c:numCache>
                <c:formatCode>"¥"#,##0_);[Red]\("¥"#,##0\)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3B1-43DF-941E-15AD9F6AF1E2}"/>
            </c:ext>
          </c:extLst>
        </c:ser>
        <c:ser>
          <c:idx val="14"/>
          <c:order val="3"/>
          <c:tx>
            <c:strRef>
              <c:f>年推移!$A$20</c:f>
              <c:strCache>
                <c:ptCount val="1"/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年推移!$B$20:$AF$20</c:f>
              <c:numCache>
                <c:formatCode>"¥"#,##0_);[Red]\("¥"#,##0\)</c:formatCode>
                <c:ptCount val="31"/>
                <c:pt idx="0" formatCode="&quot;¥&quot;#,##0_);[Red]\(&quot;¥&quot;#,##0\)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3B1-43DF-941E-15AD9F6AF1E2}"/>
            </c:ext>
          </c:extLst>
        </c:ser>
        <c:ser>
          <c:idx val="16"/>
          <c:order val="4"/>
          <c:tx>
            <c:strRef>
              <c:f>年推移!$A$22</c:f>
              <c:strCache>
                <c:ptCount val="1"/>
                <c:pt idx="0">
                  <c:v>累計CF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年推移!$B$22:$AF$22</c:f>
              <c:numCache>
                <c:formatCode>"¥"#,##0_);[Red]\("¥"#,##0\)</c:formatCode>
                <c:ptCount val="31"/>
                <c:pt idx="0">
                  <c:v>-4000000</c:v>
                </c:pt>
                <c:pt idx="1">
                  <c:v>-2989333.9684296018</c:v>
                </c:pt>
                <c:pt idx="2">
                  <c:v>-2003639.0368592031</c:v>
                </c:pt>
                <c:pt idx="3">
                  <c:v>-1043038.5052888046</c:v>
                </c:pt>
                <c:pt idx="4">
                  <c:v>-107667.03771840618</c:v>
                </c:pt>
                <c:pt idx="5">
                  <c:v>802323.65549199237</c:v>
                </c:pt>
                <c:pt idx="6">
                  <c:v>1686768.4350859905</c:v>
                </c:pt>
                <c:pt idx="7">
                  <c:v>2545486.0501997527</c:v>
                </c:pt>
                <c:pt idx="8">
                  <c:v>3378279.7554780813</c:v>
                </c:pt>
                <c:pt idx="9">
                  <c:v>4184935.5280193305</c:v>
                </c:pt>
                <c:pt idx="10">
                  <c:v>4178081.4803913608</c:v>
                </c:pt>
                <c:pt idx="11">
                  <c:v>4945389.355913654</c:v>
                </c:pt>
                <c:pt idx="12">
                  <c:v>5685814.3316327911</c:v>
                </c:pt>
                <c:pt idx="13">
                  <c:v>6399069.8405468045</c:v>
                </c:pt>
                <c:pt idx="14">
                  <c:v>7084851.5203237459</c:v>
                </c:pt>
                <c:pt idx="15">
                  <c:v>7399974.9863978429</c:v>
                </c:pt>
                <c:pt idx="16">
                  <c:v>7686951.176334695</c:v>
                </c:pt>
                <c:pt idx="17">
                  <c:v>7945410.4368956741</c:v>
                </c:pt>
                <c:pt idx="18">
                  <c:v>8174960.88237454</c:v>
                </c:pt>
                <c:pt idx="19">
                  <c:v>8375186.309922114</c:v>
                </c:pt>
                <c:pt idx="20">
                  <c:v>7859284.0783540718</c:v>
                </c:pt>
                <c:pt idx="21">
                  <c:v>9329344.6435483135</c:v>
                </c:pt>
                <c:pt idx="22">
                  <c:v>10784977.330363341</c:v>
                </c:pt>
                <c:pt idx="23">
                  <c:v>12226326.417582944</c:v>
                </c:pt>
                <c:pt idx="24">
                  <c:v>13653534.741203079</c:v>
                </c:pt>
                <c:pt idx="25">
                  <c:v>15066743.70885974</c:v>
                </c:pt>
                <c:pt idx="26">
                  <c:v>16466093.314112561</c:v>
                </c:pt>
                <c:pt idx="27">
                  <c:v>17851722.150585581</c:v>
                </c:pt>
                <c:pt idx="28">
                  <c:v>19223767.425966598</c:v>
                </c:pt>
                <c:pt idx="29">
                  <c:v>20582364.975866534</c:v>
                </c:pt>
                <c:pt idx="30">
                  <c:v>21241285.641176559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D3B1-43DF-941E-15AD9F6AF1E2}"/>
            </c:ext>
          </c:extLst>
        </c:ser>
        <c:ser>
          <c:idx val="17"/>
          <c:order val="5"/>
          <c:tx>
            <c:strRef>
              <c:f>年推移!#REF!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年推移!#REF!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D3B1-43DF-941E-15AD9F6AF1E2}"/>
            </c:ext>
          </c:extLst>
        </c:ser>
        <c:ser>
          <c:idx val="18"/>
          <c:order val="6"/>
          <c:tx>
            <c:strRef>
              <c:f>年推移!$A$23</c:f>
              <c:strCache>
                <c:ptCount val="1"/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年推移!$B$23:$AF$23</c:f>
              <c:numCache>
                <c:formatCode>General</c:formatCode>
                <c:ptCount val="3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D3B1-43DF-941E-15AD9F6AF1E2}"/>
            </c:ext>
          </c:extLst>
        </c:ser>
        <c:ser>
          <c:idx val="22"/>
          <c:order val="7"/>
          <c:tx>
            <c:strRef>
              <c:f>年推移!$A$27</c:f>
              <c:strCache>
                <c:ptCount val="1"/>
                <c:pt idx="0">
                  <c:v>純資産簿価(土地建物+CF)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年推移!$B$27:$AF$27</c:f>
              <c:numCache>
                <c:formatCode>"¥"#,##0_);[Red]\("¥"#,##0\)</c:formatCode>
                <c:ptCount val="31"/>
                <c:pt idx="0">
                  <c:v>-1000000</c:v>
                </c:pt>
                <c:pt idx="1">
                  <c:v>-532361.60000000149</c:v>
                </c:pt>
                <c:pt idx="2">
                  <c:v>-65257.300000000745</c:v>
                </c:pt>
                <c:pt idx="3">
                  <c:v>402188.59999999404</c:v>
                </c:pt>
                <c:pt idx="4">
                  <c:v>870872.43599999696</c:v>
                </c:pt>
                <c:pt idx="5">
                  <c:v>1341724.4976399969</c:v>
                </c:pt>
                <c:pt idx="6">
                  <c:v>1815700.6456635967</c:v>
                </c:pt>
                <c:pt idx="7">
                  <c:v>2293788.629206961</c:v>
                </c:pt>
                <c:pt idx="8">
                  <c:v>2777006.7029148918</c:v>
                </c:pt>
                <c:pt idx="9">
                  <c:v>3266407.8438857412</c:v>
                </c:pt>
                <c:pt idx="10">
                  <c:v>3930479.6192328278</c:v>
                </c:pt>
                <c:pt idx="11">
                  <c:v>4403720.3177301772</c:v>
                </c:pt>
                <c:pt idx="12">
                  <c:v>4886510.1164243715</c:v>
                </c:pt>
                <c:pt idx="13">
                  <c:v>5380049.4483134402</c:v>
                </c:pt>
                <c:pt idx="14">
                  <c:v>5885574.9510654379</c:v>
                </c:pt>
                <c:pt idx="15">
                  <c:v>7204371.3829717329</c:v>
                </c:pt>
                <c:pt idx="16">
                  <c:v>8537762.5387407839</c:v>
                </c:pt>
                <c:pt idx="17">
                  <c:v>9887121.765133962</c:v>
                </c:pt>
                <c:pt idx="18">
                  <c:v>11253869.176445026</c:v>
                </c:pt>
                <c:pt idx="19">
                  <c:v>12639476.569824798</c:v>
                </c:pt>
                <c:pt idx="20">
                  <c:v>14313645.758634409</c:v>
                </c:pt>
                <c:pt idx="21">
                  <c:v>15692797.232919559</c:v>
                </c:pt>
                <c:pt idx="22">
                  <c:v>17057520.828825496</c:v>
                </c:pt>
                <c:pt idx="23">
                  <c:v>18407960.82513601</c:v>
                </c:pt>
                <c:pt idx="24">
                  <c:v>19744260.057847053</c:v>
                </c:pt>
                <c:pt idx="25">
                  <c:v>21066559.934594624</c:v>
                </c:pt>
                <c:pt idx="26">
                  <c:v>22375000.448938355</c:v>
                </c:pt>
                <c:pt idx="27">
                  <c:v>23669720.194502283</c:v>
                </c:pt>
                <c:pt idx="28">
                  <c:v>24950856.37897421</c:v>
                </c:pt>
                <c:pt idx="29">
                  <c:v>26218544.837965056</c:v>
                </c:pt>
                <c:pt idx="30">
                  <c:v>27741101.866911445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D3B1-43DF-941E-15AD9F6AF1E2}"/>
            </c:ext>
          </c:extLst>
        </c:ser>
        <c:ser>
          <c:idx val="1"/>
          <c:order val="9"/>
          <c:tx>
            <c:strRef>
              <c:f>年推移!$A$29</c:f>
              <c:strCache>
                <c:ptCount val="1"/>
                <c:pt idx="0">
                  <c:v>売却時累計CF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年推移!$B$29:$AF$29</c:f>
              <c:numCache>
                <c:formatCode>"¥"#,##0_);[Red]\("¥"#,##0\)</c:formatCode>
                <c:ptCount val="31"/>
                <c:pt idx="0">
                  <c:v>0</c:v>
                </c:pt>
                <c:pt idx="1">
                  <c:v>400495.54285714123</c:v>
                </c:pt>
                <c:pt idx="2">
                  <c:v>1802556.9857142847</c:v>
                </c:pt>
                <c:pt idx="3">
                  <c:v>2897655.0706057111</c:v>
                </c:pt>
                <c:pt idx="4">
                  <c:v>3931795.6704710871</c:v>
                </c:pt>
                <c:pt idx="5">
                  <c:v>4969380.2140520886</c:v>
                </c:pt>
                <c:pt idx="6">
                  <c:v>6011351.8049115678</c:v>
                </c:pt>
                <c:pt idx="7">
                  <c:v>7058685.5625767391</c:v>
                </c:pt>
                <c:pt idx="8">
                  <c:v>8112387.2383795446</c:v>
                </c:pt>
                <c:pt idx="9">
                  <c:v>9173497.4311386049</c:v>
                </c:pt>
                <c:pt idx="10">
                  <c:v>9173497.4311386049</c:v>
                </c:pt>
                <c:pt idx="11">
                  <c:v>10906582.734923981</c:v>
                </c:pt>
                <c:pt idx="12">
                  <c:v>11992248.532822862</c:v>
                </c:pt>
                <c:pt idx="13">
                  <c:v>13089841.026002491</c:v>
                </c:pt>
                <c:pt idx="14">
                  <c:v>14200585.080510067</c:v>
                </c:pt>
                <c:pt idx="15">
                  <c:v>15432725.229303733</c:v>
                </c:pt>
                <c:pt idx="16">
                  <c:v>15432725.229303733</c:v>
                </c:pt>
                <c:pt idx="17">
                  <c:v>17945578.220833048</c:v>
                </c:pt>
                <c:pt idx="18">
                  <c:v>19229061.794859849</c:v>
                </c:pt>
                <c:pt idx="19">
                  <c:v>20532513.625691839</c:v>
                </c:pt>
                <c:pt idx="20">
                  <c:v>21546788.080306411</c:v>
                </c:pt>
                <c:pt idx="21">
                  <c:v>22873531.04046575</c:v>
                </c:pt>
                <c:pt idx="22">
                  <c:v>24186921.480114408</c:v>
                </c:pt>
                <c:pt idx="23">
                  <c:v>25487092.924457487</c:v>
                </c:pt>
                <c:pt idx="24">
                  <c:v>26774177.563448042</c:v>
                </c:pt>
                <c:pt idx="25">
                  <c:v>28048306.265139602</c:v>
                </c:pt>
                <c:pt idx="26">
                  <c:v>29309608.588905156</c:v>
                </c:pt>
                <c:pt idx="27">
                  <c:v>30558212.798523962</c:v>
                </c:pt>
                <c:pt idx="28">
                  <c:v>31794245.875137493</c:v>
                </c:pt>
                <c:pt idx="29">
                  <c:v>33017833.530075796</c:v>
                </c:pt>
                <c:pt idx="30">
                  <c:v>33918445.672101073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0C1-45A9-8DDA-7FF9919FF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391759"/>
        <c:axId val="34811055"/>
      </c:lineChart>
      <c:catAx>
        <c:axId val="35639175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811055"/>
        <c:crosses val="autoZero"/>
        <c:auto val="1"/>
        <c:lblAlgn val="ctr"/>
        <c:lblOffset val="100"/>
        <c:noMultiLvlLbl val="0"/>
      </c:catAx>
      <c:valAx>
        <c:axId val="34811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¥&quot;#,##0_);[Red]\(&quot;¥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6391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6"/>
        <c:delete val="1"/>
      </c:legendEntry>
      <c:legendEntry>
        <c:idx val="7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ローン返済</a:t>
            </a:r>
          </a:p>
        </c:rich>
      </c:tx>
      <c:layout>
        <c:manualLayout>
          <c:xMode val="edge"/>
          <c:yMode val="edge"/>
          <c:x val="8.3174326936110241E-3"/>
          <c:y val="0.378164253661840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054360756368076"/>
          <c:y val="1.8743036152738975E-2"/>
          <c:w val="0.89921157182601197"/>
          <c:h val="0.742472610278553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ローン計算!$A$8</c:f>
              <c:strCache>
                <c:ptCount val="1"/>
                <c:pt idx="0">
                  <c:v>ローン返済（年）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ローン計算!$B$8:$AE$8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5B-4926-AC0C-E995BA976D10}"/>
            </c:ext>
          </c:extLst>
        </c:ser>
        <c:ser>
          <c:idx val="1"/>
          <c:order val="1"/>
          <c:tx>
            <c:strRef>
              <c:f>ローン計算!$A$9</c:f>
              <c:strCache>
                <c:ptCount val="1"/>
                <c:pt idx="0">
                  <c:v>元金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ローン計算!$B$9:$AE$9</c:f>
              <c:numCache>
                <c:formatCode>"¥"#,##0_);[Red]\("¥"#,##0\)</c:formatCode>
                <c:ptCount val="30"/>
                <c:pt idx="0">
                  <c:v>-599829.51128674427</c:v>
                </c:pt>
                <c:pt idx="1">
                  <c:v>-624266.51128674427</c:v>
                </c:pt>
                <c:pt idx="2">
                  <c:v>-649702.51128674427</c:v>
                </c:pt>
                <c:pt idx="3">
                  <c:v>-676169.51128674427</c:v>
                </c:pt>
                <c:pt idx="4">
                  <c:v>-703718.51128674427</c:v>
                </c:pt>
                <c:pt idx="5">
                  <c:v>-732388.51128674427</c:v>
                </c:pt>
                <c:pt idx="6">
                  <c:v>-762227.51128674427</c:v>
                </c:pt>
                <c:pt idx="7">
                  <c:v>-793281.51128674427</c:v>
                </c:pt>
                <c:pt idx="8">
                  <c:v>-825602.51128674427</c:v>
                </c:pt>
                <c:pt idx="9">
                  <c:v>-859237.51128674427</c:v>
                </c:pt>
                <c:pt idx="10">
                  <c:v>-894244.51128674427</c:v>
                </c:pt>
                <c:pt idx="11">
                  <c:v>-930676.51128674427</c:v>
                </c:pt>
                <c:pt idx="12">
                  <c:v>-968595.51128674427</c:v>
                </c:pt>
                <c:pt idx="13">
                  <c:v>-1008055.5112867443</c:v>
                </c:pt>
                <c:pt idx="14">
                  <c:v>-1049127.5112867441</c:v>
                </c:pt>
                <c:pt idx="15">
                  <c:v>-1091869.5112867441</c:v>
                </c:pt>
                <c:pt idx="16">
                  <c:v>-1136354.5112867441</c:v>
                </c:pt>
                <c:pt idx="17">
                  <c:v>-1182651.5112867441</c:v>
                </c:pt>
                <c:pt idx="18">
                  <c:v>-1230836.5112867441</c:v>
                </c:pt>
                <c:pt idx="19">
                  <c:v>-1280980.5112867439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5B-4926-AC0C-E995BA976D10}"/>
            </c:ext>
          </c:extLst>
        </c:ser>
        <c:ser>
          <c:idx val="2"/>
          <c:order val="2"/>
          <c:tx>
            <c:strRef>
              <c:f>ローン計算!$A$10</c:f>
              <c:strCache>
                <c:ptCount val="1"/>
                <c:pt idx="0">
                  <c:v>利息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ローン計算!$B$10:$AE$10</c:f>
              <c:numCache>
                <c:formatCode>"¥"#,##0_);[Red]\("¥"#,##0\)</c:formatCode>
                <c:ptCount val="30"/>
                <c:pt idx="0">
                  <c:v>-709088</c:v>
                </c:pt>
                <c:pt idx="1">
                  <c:v>-684651</c:v>
                </c:pt>
                <c:pt idx="2">
                  <c:v>-659215</c:v>
                </c:pt>
                <c:pt idx="3">
                  <c:v>-632748</c:v>
                </c:pt>
                <c:pt idx="4">
                  <c:v>-605199</c:v>
                </c:pt>
                <c:pt idx="5">
                  <c:v>-576529</c:v>
                </c:pt>
                <c:pt idx="6">
                  <c:v>-546690</c:v>
                </c:pt>
                <c:pt idx="7">
                  <c:v>-515636</c:v>
                </c:pt>
                <c:pt idx="8">
                  <c:v>-483315</c:v>
                </c:pt>
                <c:pt idx="9">
                  <c:v>-449680</c:v>
                </c:pt>
                <c:pt idx="10">
                  <c:v>-414673</c:v>
                </c:pt>
                <c:pt idx="11">
                  <c:v>-378241</c:v>
                </c:pt>
                <c:pt idx="12">
                  <c:v>-340322</c:v>
                </c:pt>
                <c:pt idx="13">
                  <c:v>-300862</c:v>
                </c:pt>
                <c:pt idx="14">
                  <c:v>-259790</c:v>
                </c:pt>
                <c:pt idx="15">
                  <c:v>-217048</c:v>
                </c:pt>
                <c:pt idx="16">
                  <c:v>-172563</c:v>
                </c:pt>
                <c:pt idx="17">
                  <c:v>-126266</c:v>
                </c:pt>
                <c:pt idx="18">
                  <c:v>-78081</c:v>
                </c:pt>
                <c:pt idx="19">
                  <c:v>-27937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5B-4926-AC0C-E995BA976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3647600"/>
        <c:axId val="1237936112"/>
      </c:barChart>
      <c:lineChart>
        <c:grouping val="standard"/>
        <c:varyColors val="0"/>
        <c:ser>
          <c:idx val="3"/>
          <c:order val="3"/>
          <c:tx>
            <c:strRef>
              <c:f>ローン計算!$A$13</c:f>
              <c:strCache>
                <c:ptCount val="1"/>
                <c:pt idx="0">
                  <c:v>減価償却費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ローン計算!$B$13:$AE$13</c:f>
              <c:numCache>
                <c:formatCode>"¥"#,##0_);[Red]\("¥"#,##0\)</c:formatCode>
                <c:ptCount val="30"/>
                <c:pt idx="0">
                  <c:v>-1142857.142857143</c:v>
                </c:pt>
                <c:pt idx="1">
                  <c:v>-1142857.142857143</c:v>
                </c:pt>
                <c:pt idx="2">
                  <c:v>-1142857.142857143</c:v>
                </c:pt>
                <c:pt idx="3">
                  <c:v>-1142857.142857143</c:v>
                </c:pt>
                <c:pt idx="4">
                  <c:v>-1142857.142857143</c:v>
                </c:pt>
                <c:pt idx="5">
                  <c:v>-1142857.142857143</c:v>
                </c:pt>
                <c:pt idx="6">
                  <c:v>-1142857.142857143</c:v>
                </c:pt>
                <c:pt idx="7">
                  <c:v>-1142857.142857143</c:v>
                </c:pt>
                <c:pt idx="8">
                  <c:v>-1142857.142857143</c:v>
                </c:pt>
                <c:pt idx="9">
                  <c:v>-1188311.6883116884</c:v>
                </c:pt>
                <c:pt idx="10">
                  <c:v>-1188311.6883116884</c:v>
                </c:pt>
                <c:pt idx="11">
                  <c:v>-1188311.6883116884</c:v>
                </c:pt>
                <c:pt idx="12">
                  <c:v>-1188311.6883116884</c:v>
                </c:pt>
                <c:pt idx="13">
                  <c:v>-1188311.6883116884</c:v>
                </c:pt>
                <c:pt idx="14">
                  <c:v>-45454.545454545456</c:v>
                </c:pt>
                <c:pt idx="15">
                  <c:v>-45454.545454545456</c:v>
                </c:pt>
                <c:pt idx="16">
                  <c:v>-45454.545454545456</c:v>
                </c:pt>
                <c:pt idx="17">
                  <c:v>-45454.545454545456</c:v>
                </c:pt>
                <c:pt idx="18">
                  <c:v>-45454.545454545456</c:v>
                </c:pt>
                <c:pt idx="19">
                  <c:v>-90909.090909090912</c:v>
                </c:pt>
                <c:pt idx="20">
                  <c:v>-90909.090909090912</c:v>
                </c:pt>
                <c:pt idx="21">
                  <c:v>-90909.090909090912</c:v>
                </c:pt>
                <c:pt idx="22">
                  <c:v>-90909.090909090912</c:v>
                </c:pt>
                <c:pt idx="23">
                  <c:v>-90909.090909090912</c:v>
                </c:pt>
                <c:pt idx="24">
                  <c:v>-90909.090909090912</c:v>
                </c:pt>
                <c:pt idx="25">
                  <c:v>-90909.090909090912</c:v>
                </c:pt>
                <c:pt idx="26">
                  <c:v>-90909.090909090912</c:v>
                </c:pt>
                <c:pt idx="27">
                  <c:v>-90909.090909090912</c:v>
                </c:pt>
                <c:pt idx="28">
                  <c:v>-90909.090909090912</c:v>
                </c:pt>
                <c:pt idx="29">
                  <c:v>-136363.63636363635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87-460B-A284-F73386469972}"/>
            </c:ext>
          </c:extLst>
        </c:ser>
        <c:ser>
          <c:idx val="5"/>
          <c:order val="5"/>
          <c:tx>
            <c:strRef>
              <c:f>ローン計算!$A$14</c:f>
              <c:strCache>
                <c:ptCount val="1"/>
                <c:pt idx="0">
                  <c:v>年間経費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ローン計算!$B$14:$AE$14</c:f>
              <c:numCache>
                <c:formatCode>"¥"#,##0_);[Red]\("¥"#,##0\)</c:formatCode>
                <c:ptCount val="30"/>
                <c:pt idx="0">
                  <c:v>-1851945.142857143</c:v>
                </c:pt>
                <c:pt idx="1">
                  <c:v>-1827508.142857143</c:v>
                </c:pt>
                <c:pt idx="2">
                  <c:v>-1802072.142857143</c:v>
                </c:pt>
                <c:pt idx="3">
                  <c:v>-1775605.142857143</c:v>
                </c:pt>
                <c:pt idx="4">
                  <c:v>-1748056.142857143</c:v>
                </c:pt>
                <c:pt idx="5">
                  <c:v>-1719386.142857143</c:v>
                </c:pt>
                <c:pt idx="6">
                  <c:v>-1689547.142857143</c:v>
                </c:pt>
                <c:pt idx="7">
                  <c:v>-1658493.142857143</c:v>
                </c:pt>
                <c:pt idx="8">
                  <c:v>-1626172.142857143</c:v>
                </c:pt>
                <c:pt idx="9">
                  <c:v>-1637991.6883116884</c:v>
                </c:pt>
                <c:pt idx="10">
                  <c:v>-1602984.6883116884</c:v>
                </c:pt>
                <c:pt idx="11">
                  <c:v>-1566552.6883116884</c:v>
                </c:pt>
                <c:pt idx="12">
                  <c:v>-1528633.6883116884</c:v>
                </c:pt>
                <c:pt idx="13">
                  <c:v>-1489173.6883116884</c:v>
                </c:pt>
                <c:pt idx="14">
                  <c:v>-305244.54545454547</c:v>
                </c:pt>
                <c:pt idx="15">
                  <c:v>-262502.54545454547</c:v>
                </c:pt>
                <c:pt idx="16">
                  <c:v>-218017.54545454547</c:v>
                </c:pt>
                <c:pt idx="17">
                  <c:v>-171720.54545454547</c:v>
                </c:pt>
                <c:pt idx="18">
                  <c:v>-123535.54545454546</c:v>
                </c:pt>
                <c:pt idx="19">
                  <c:v>-118846.09090909091</c:v>
                </c:pt>
                <c:pt idx="20">
                  <c:v>-90909.090909090912</c:v>
                </c:pt>
                <c:pt idx="21">
                  <c:v>-90909.090909090912</c:v>
                </c:pt>
                <c:pt idx="22">
                  <c:v>-90909.090909090912</c:v>
                </c:pt>
                <c:pt idx="23">
                  <c:v>-90909.090909090912</c:v>
                </c:pt>
                <c:pt idx="24">
                  <c:v>-90909.090909090912</c:v>
                </c:pt>
                <c:pt idx="25">
                  <c:v>-90909.090909090912</c:v>
                </c:pt>
                <c:pt idx="26">
                  <c:v>-90909.090909090912</c:v>
                </c:pt>
                <c:pt idx="27">
                  <c:v>-90909.090909090912</c:v>
                </c:pt>
                <c:pt idx="28">
                  <c:v>-90909.090909090912</c:v>
                </c:pt>
                <c:pt idx="29">
                  <c:v>-136363.63636363635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9B-4DA2-BE75-21A4CDAD4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3647600"/>
        <c:axId val="1237936112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ローン計算!$A$14</c15:sqref>
                        </c15:formulaRef>
                      </c:ext>
                    </c:extLst>
                    <c:strCache>
                      <c:ptCount val="1"/>
                      <c:pt idx="0">
                        <c:v>年間経費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1-2D9B-4DA2-BE75-21A4CDAD4DA6}"/>
                  </c:ext>
                </c:extLst>
              </c15:ser>
            </c15:filteredLineSeries>
          </c:ext>
        </c:extLst>
      </c:lineChart>
      <c:dateAx>
        <c:axId val="1233647600"/>
        <c:scaling>
          <c:orientation val="minMax"/>
        </c:scaling>
        <c:delete val="0"/>
        <c:axPos val="t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37936112"/>
        <c:crosses val="autoZero"/>
        <c:auto val="0"/>
        <c:lblOffset val="100"/>
        <c:baseTimeUnit val="days"/>
      </c:dateAx>
      <c:valAx>
        <c:axId val="1237936112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¥&quot;#,##0_);[Red]\(&quot;¥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33647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1454195257012156"/>
          <c:y val="0.62687410041486746"/>
          <c:w val="0.36403033586132177"/>
          <c:h val="6.99000931335195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1855470</xdr:colOff>
      <xdr:row>30</xdr:row>
      <xdr:rowOff>163830</xdr:rowOff>
    </xdr:from>
    <xdr:to>
      <xdr:col>11</xdr:col>
      <xdr:colOff>594360</xdr:colOff>
      <xdr:row>48</xdr:row>
      <xdr:rowOff>15240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5BEFED11-74BA-4252-9B82-F9C688AB7D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14</xdr:row>
      <xdr:rowOff>68580</xdr:rowOff>
    </xdr:from>
    <xdr:to>
      <xdr:col>11</xdr:col>
      <xdr:colOff>830580</xdr:colOff>
      <xdr:row>40</xdr:row>
      <xdr:rowOff>30480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568171A-66EA-487A-A18E-C4CD36D201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93872-2276-4B4E-9CE3-B3F1DBB543DF}">
  <dimension ref="B1:I24"/>
  <sheetViews>
    <sheetView zoomScale="150" zoomScaleNormal="150" workbookViewId="0">
      <selection activeCell="K7" sqref="K7"/>
    </sheetView>
  </sheetViews>
  <sheetFormatPr defaultRowHeight="18" x14ac:dyDescent="0.45"/>
  <cols>
    <col min="2" max="2" width="25.5" customWidth="1"/>
    <col min="3" max="3" width="15.8984375" customWidth="1"/>
    <col min="4" max="4" width="13.3984375" customWidth="1"/>
    <col min="5" max="5" width="21.19921875" customWidth="1"/>
    <col min="6" max="6" width="14.69921875" customWidth="1"/>
    <col min="7" max="7" width="13.296875" customWidth="1"/>
    <col min="8" max="8" width="10.09765625" customWidth="1"/>
  </cols>
  <sheetData>
    <row r="1" spans="2:9" x14ac:dyDescent="0.45">
      <c r="B1" s="1" t="s">
        <v>6</v>
      </c>
    </row>
    <row r="2" spans="2:9" ht="18.600000000000001" thickBot="1" x14ac:dyDescent="0.5">
      <c r="B2" s="11" t="s">
        <v>0</v>
      </c>
      <c r="C2" s="11"/>
      <c r="E2" s="44" t="s">
        <v>13</v>
      </c>
      <c r="F2" s="58">
        <v>18000000</v>
      </c>
    </row>
    <row r="3" spans="2:9" ht="18.600000000000001" thickBot="1" x14ac:dyDescent="0.5">
      <c r="B3" s="11" t="s">
        <v>1</v>
      </c>
      <c r="C3" s="12">
        <v>20000000</v>
      </c>
      <c r="E3" s="65" t="s">
        <v>12</v>
      </c>
      <c r="F3" s="66">
        <f>C11-F2</f>
        <v>4000000</v>
      </c>
      <c r="G3" t="s">
        <v>108</v>
      </c>
      <c r="H3">
        <f>C11/F3</f>
        <v>5.5</v>
      </c>
      <c r="I3" t="s">
        <v>109</v>
      </c>
    </row>
    <row r="4" spans="2:9" x14ac:dyDescent="0.45">
      <c r="B4" s="11" t="s">
        <v>11</v>
      </c>
      <c r="C4" s="12">
        <v>300000</v>
      </c>
      <c r="E4" s="63" t="s">
        <v>48</v>
      </c>
      <c r="F4" s="64">
        <v>20</v>
      </c>
    </row>
    <row r="5" spans="2:9" x14ac:dyDescent="0.45">
      <c r="B5" s="11" t="s">
        <v>2</v>
      </c>
      <c r="C5" s="36">
        <f>C4*12</f>
        <v>3600000</v>
      </c>
      <c r="E5" s="11" t="s">
        <v>17</v>
      </c>
      <c r="F5" s="39">
        <v>0.04</v>
      </c>
      <c r="H5" s="9"/>
      <c r="I5" s="10"/>
    </row>
    <row r="6" spans="2:9" x14ac:dyDescent="0.45">
      <c r="B6" s="21" t="s">
        <v>3</v>
      </c>
      <c r="C6" s="22">
        <f>C5/C3</f>
        <v>0.18</v>
      </c>
      <c r="E6" s="11" t="s">
        <v>10</v>
      </c>
      <c r="F6" s="40">
        <f>PMT(利回り!F5/12,利回り!F4*12,利回り!F2,0)</f>
        <v>-109076.45927389535</v>
      </c>
    </row>
    <row r="7" spans="2:9" x14ac:dyDescent="0.45">
      <c r="E7" s="15" t="s">
        <v>19</v>
      </c>
      <c r="F7" s="41">
        <f>-F6/C4</f>
        <v>0.36358819757965116</v>
      </c>
    </row>
    <row r="8" spans="2:9" x14ac:dyDescent="0.45">
      <c r="B8" s="15" t="s">
        <v>31</v>
      </c>
      <c r="C8" s="53">
        <v>0.05</v>
      </c>
      <c r="D8" t="s">
        <v>54</v>
      </c>
      <c r="E8" s="11" t="s">
        <v>18</v>
      </c>
      <c r="F8" s="40">
        <f>F6*12</f>
        <v>-1308917.5112867441</v>
      </c>
    </row>
    <row r="9" spans="2:9" x14ac:dyDescent="0.45">
      <c r="B9" s="15" t="s">
        <v>15</v>
      </c>
      <c r="C9" s="33">
        <f>C3*C8</f>
        <v>1000000</v>
      </c>
      <c r="E9" s="11" t="s">
        <v>59</v>
      </c>
      <c r="F9" s="37">
        <f>C14+F8</f>
        <v>1211082.4887132559</v>
      </c>
    </row>
    <row r="10" spans="2:9" ht="18.600000000000001" thickBot="1" x14ac:dyDescent="0.5">
      <c r="B10" s="42" t="s">
        <v>7</v>
      </c>
      <c r="C10" s="54">
        <v>1000000</v>
      </c>
      <c r="D10" t="s">
        <v>53</v>
      </c>
      <c r="E10" s="44" t="s">
        <v>8</v>
      </c>
      <c r="F10" s="52">
        <v>0.3</v>
      </c>
    </row>
    <row r="11" spans="2:9" ht="18.600000000000001" thickBot="1" x14ac:dyDescent="0.5">
      <c r="B11" s="34" t="s">
        <v>4</v>
      </c>
      <c r="C11" s="35">
        <f>C3+C9+C10</f>
        <v>22000000</v>
      </c>
      <c r="E11" s="69" t="s">
        <v>58</v>
      </c>
      <c r="F11" s="70">
        <f>年推移!C21</f>
        <v>1010666.0315703985</v>
      </c>
      <c r="G11" t="s">
        <v>55</v>
      </c>
      <c r="H11" s="51">
        <f>年推移!K21</f>
        <v>806655.77254124917</v>
      </c>
      <c r="I11" t="s">
        <v>99</v>
      </c>
    </row>
    <row r="12" spans="2:9" x14ac:dyDescent="0.45">
      <c r="B12" s="43" t="s">
        <v>30</v>
      </c>
      <c r="C12" s="55">
        <v>0.3</v>
      </c>
      <c r="E12" s="11" t="s">
        <v>106</v>
      </c>
      <c r="F12" s="37">
        <f>F11/12</f>
        <v>84222.169297533212</v>
      </c>
      <c r="G12" t="s">
        <v>55</v>
      </c>
      <c r="H12" s="16">
        <f>H11/12</f>
        <v>67221.314378437426</v>
      </c>
      <c r="I12" t="s">
        <v>99</v>
      </c>
    </row>
    <row r="13" spans="2:9" ht="18.600000000000001" thickBot="1" x14ac:dyDescent="0.5">
      <c r="B13" s="44" t="s">
        <v>14</v>
      </c>
      <c r="C13" s="45">
        <f>C5*C12</f>
        <v>1080000</v>
      </c>
      <c r="E13" s="71" t="s">
        <v>103</v>
      </c>
      <c r="F13" s="72">
        <f>F11/F3</f>
        <v>0.25266650789259965</v>
      </c>
      <c r="G13" t="s">
        <v>98</v>
      </c>
      <c r="H13" s="27">
        <f>H11/F3</f>
        <v>0.2016639431353123</v>
      </c>
      <c r="I13" t="s">
        <v>99</v>
      </c>
    </row>
    <row r="14" spans="2:9" ht="18.600000000000001" thickBot="1" x14ac:dyDescent="0.5">
      <c r="B14" s="34" t="s">
        <v>94</v>
      </c>
      <c r="C14" s="35">
        <f>C5-C13</f>
        <v>2520000</v>
      </c>
      <c r="D14" s="17"/>
      <c r="E14" s="17"/>
      <c r="F14" s="61"/>
      <c r="G14" s="17"/>
    </row>
    <row r="15" spans="2:9" x14ac:dyDescent="0.45">
      <c r="B15" s="46" t="s">
        <v>5</v>
      </c>
      <c r="C15" s="47">
        <f>C14/C11</f>
        <v>0.11454545454545455</v>
      </c>
      <c r="D15" s="62"/>
      <c r="E15" s="17"/>
      <c r="F15" s="18"/>
      <c r="G15" s="17"/>
    </row>
    <row r="16" spans="2:9" x14ac:dyDescent="0.45">
      <c r="B16" s="17"/>
      <c r="C16" s="18"/>
      <c r="D16" s="19"/>
    </row>
    <row r="17" spans="2:4" x14ac:dyDescent="0.45">
      <c r="B17" s="73" t="s">
        <v>39</v>
      </c>
      <c r="C17" s="73"/>
      <c r="D17" s="58">
        <v>15000000</v>
      </c>
    </row>
    <row r="18" spans="2:4" x14ac:dyDescent="0.45">
      <c r="B18" s="74" t="s">
        <v>102</v>
      </c>
      <c r="C18" s="75"/>
      <c r="D18" s="60">
        <f>D17+C10</f>
        <v>16000000</v>
      </c>
    </row>
    <row r="19" spans="2:4" x14ac:dyDescent="0.45">
      <c r="B19" s="73" t="s">
        <v>28</v>
      </c>
      <c r="C19" s="73"/>
      <c r="D19" s="59">
        <v>22</v>
      </c>
    </row>
    <row r="20" spans="2:4" x14ac:dyDescent="0.45">
      <c r="B20" s="73" t="s">
        <v>101</v>
      </c>
      <c r="C20" s="73"/>
      <c r="D20" s="31">
        <v>10</v>
      </c>
    </row>
    <row r="21" spans="2:4" x14ac:dyDescent="0.45">
      <c r="B21" s="73" t="s">
        <v>27</v>
      </c>
      <c r="C21" s="73"/>
      <c r="D21" s="38">
        <f>IF(D19&gt;D20,ROUNDDOWN((D19-D20)+D20*0.2,0),ROUNDDOWN(D19*0.2,0))</f>
        <v>14</v>
      </c>
    </row>
    <row r="22" spans="2:4" x14ac:dyDescent="0.45">
      <c r="B22" s="11" t="s">
        <v>33</v>
      </c>
      <c r="C22" s="11"/>
      <c r="D22" s="37">
        <f>D18/D21</f>
        <v>1142857.142857143</v>
      </c>
    </row>
    <row r="24" spans="2:4" x14ac:dyDescent="0.45">
      <c r="B24" s="15" t="s">
        <v>29</v>
      </c>
      <c r="C24" s="50">
        <v>1000000</v>
      </c>
    </row>
  </sheetData>
  <mergeCells count="5">
    <mergeCell ref="B19:C19"/>
    <mergeCell ref="B20:C20"/>
    <mergeCell ref="B21:C21"/>
    <mergeCell ref="B17:C17"/>
    <mergeCell ref="B18:C18"/>
  </mergeCells>
  <phoneticPr fontId="2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7FF00-D24C-4CBB-9C39-E65A7A654D01}">
  <dimension ref="A2:AF30"/>
  <sheetViews>
    <sheetView topLeftCell="A40" zoomScaleNormal="100" workbookViewId="0">
      <selection activeCell="I4" sqref="I4"/>
    </sheetView>
  </sheetViews>
  <sheetFormatPr defaultRowHeight="18" x14ac:dyDescent="0.45"/>
  <cols>
    <col min="1" max="1" width="24.796875" customWidth="1"/>
    <col min="2" max="32" width="12.5" customWidth="1"/>
  </cols>
  <sheetData>
    <row r="2" spans="1:32" x14ac:dyDescent="0.45">
      <c r="A2" s="11" t="s">
        <v>21</v>
      </c>
      <c r="B2" s="14">
        <v>0.01</v>
      </c>
      <c r="D2" s="15" t="s">
        <v>22</v>
      </c>
      <c r="E2" s="32">
        <f>利回り!$C$12</f>
        <v>0.3</v>
      </c>
      <c r="F2" t="s">
        <v>23</v>
      </c>
    </row>
    <row r="3" spans="1:32" x14ac:dyDescent="0.45">
      <c r="A3" s="11" t="s">
        <v>11</v>
      </c>
      <c r="B3" s="33">
        <f>利回り!$C$4</f>
        <v>300000</v>
      </c>
      <c r="D3" s="11" t="s">
        <v>24</v>
      </c>
      <c r="E3" s="32">
        <f>利回り!$F$10</f>
        <v>0.3</v>
      </c>
    </row>
    <row r="4" spans="1:32" x14ac:dyDescent="0.45">
      <c r="A4" s="11" t="s">
        <v>20</v>
      </c>
      <c r="B4" s="33">
        <f>$B$3*12</f>
        <v>3600000</v>
      </c>
    </row>
    <row r="6" spans="1:32" x14ac:dyDescent="0.45">
      <c r="A6" t="s">
        <v>32</v>
      </c>
      <c r="B6" s="23" t="s">
        <v>40</v>
      </c>
      <c r="C6">
        <v>1</v>
      </c>
      <c r="D6">
        <v>2</v>
      </c>
      <c r="E6">
        <v>3</v>
      </c>
      <c r="F6">
        <v>4</v>
      </c>
      <c r="G6">
        <v>5</v>
      </c>
      <c r="H6">
        <v>6</v>
      </c>
      <c r="I6">
        <v>7</v>
      </c>
      <c r="J6">
        <v>8</v>
      </c>
      <c r="K6">
        <v>9</v>
      </c>
      <c r="L6">
        <v>10</v>
      </c>
      <c r="M6">
        <v>11</v>
      </c>
      <c r="N6">
        <v>12</v>
      </c>
      <c r="O6">
        <v>13</v>
      </c>
      <c r="P6">
        <v>14</v>
      </c>
      <c r="Q6">
        <v>15</v>
      </c>
      <c r="R6">
        <v>16</v>
      </c>
      <c r="S6">
        <v>17</v>
      </c>
      <c r="T6">
        <v>18</v>
      </c>
      <c r="U6">
        <v>19</v>
      </c>
      <c r="V6">
        <v>20</v>
      </c>
      <c r="W6">
        <v>21</v>
      </c>
      <c r="X6">
        <v>22</v>
      </c>
      <c r="Y6">
        <v>23</v>
      </c>
      <c r="Z6">
        <v>24</v>
      </c>
      <c r="AA6">
        <v>25</v>
      </c>
      <c r="AB6">
        <v>26</v>
      </c>
      <c r="AC6">
        <v>27</v>
      </c>
      <c r="AD6">
        <v>28</v>
      </c>
      <c r="AE6">
        <v>29</v>
      </c>
      <c r="AF6">
        <v>30</v>
      </c>
    </row>
    <row r="7" spans="1:32" s="13" customFormat="1" x14ac:dyDescent="0.45">
      <c r="A7" s="13" t="s">
        <v>20</v>
      </c>
      <c r="C7" s="13">
        <f>利回り!C5</f>
        <v>3600000</v>
      </c>
      <c r="D7" s="13">
        <f>C7*(1-$B$2)</f>
        <v>3564000</v>
      </c>
      <c r="E7" s="13">
        <f t="shared" ref="E7:AF7" si="0">D7*(1-$B$2)</f>
        <v>3528360</v>
      </c>
      <c r="F7" s="13">
        <f t="shared" si="0"/>
        <v>3493076.4</v>
      </c>
      <c r="G7" s="13">
        <f t="shared" si="0"/>
        <v>3458145.6359999999</v>
      </c>
      <c r="H7" s="13">
        <f t="shared" si="0"/>
        <v>3423564.1796399998</v>
      </c>
      <c r="I7" s="13">
        <f t="shared" si="0"/>
        <v>3389328.5378435999</v>
      </c>
      <c r="J7" s="13">
        <f t="shared" si="0"/>
        <v>3355435.2524651638</v>
      </c>
      <c r="K7" s="13">
        <f t="shared" si="0"/>
        <v>3321880.8999405121</v>
      </c>
      <c r="L7" s="13">
        <f t="shared" si="0"/>
        <v>3288662.0909411069</v>
      </c>
      <c r="M7" s="13">
        <f t="shared" si="0"/>
        <v>3255775.4700316959</v>
      </c>
      <c r="N7" s="13">
        <f t="shared" si="0"/>
        <v>3223217.7153313789</v>
      </c>
      <c r="O7" s="13">
        <f t="shared" si="0"/>
        <v>3190985.5381780649</v>
      </c>
      <c r="P7" s="13">
        <f t="shared" si="0"/>
        <v>3159075.6827962841</v>
      </c>
      <c r="Q7" s="13">
        <f t="shared" si="0"/>
        <v>3127484.925968321</v>
      </c>
      <c r="R7" s="13">
        <f t="shared" si="0"/>
        <v>3096210.0767086376</v>
      </c>
      <c r="S7" s="13">
        <f t="shared" si="0"/>
        <v>3065247.9759415514</v>
      </c>
      <c r="T7" s="13">
        <f t="shared" si="0"/>
        <v>3034595.4961821358</v>
      </c>
      <c r="U7" s="13">
        <f t="shared" si="0"/>
        <v>3004249.5412203143</v>
      </c>
      <c r="V7" s="13">
        <f t="shared" si="0"/>
        <v>2974207.0458081113</v>
      </c>
      <c r="W7" s="13">
        <f t="shared" si="0"/>
        <v>2944464.9753500302</v>
      </c>
      <c r="X7" s="13">
        <f t="shared" si="0"/>
        <v>2915020.32559653</v>
      </c>
      <c r="Y7" s="13">
        <f t="shared" si="0"/>
        <v>2885870.1223405646</v>
      </c>
      <c r="Z7" s="13">
        <f t="shared" si="0"/>
        <v>2857011.4211171591</v>
      </c>
      <c r="AA7" s="13">
        <f t="shared" si="0"/>
        <v>2828441.3069059877</v>
      </c>
      <c r="AB7" s="13">
        <f t="shared" si="0"/>
        <v>2800156.8938369276</v>
      </c>
      <c r="AC7" s="13">
        <f t="shared" si="0"/>
        <v>2772155.3248985582</v>
      </c>
      <c r="AD7" s="13">
        <f t="shared" si="0"/>
        <v>2744433.7716495725</v>
      </c>
      <c r="AE7" s="13">
        <f t="shared" si="0"/>
        <v>2716989.4339330769</v>
      </c>
      <c r="AF7" s="13">
        <f t="shared" si="0"/>
        <v>2689819.539593746</v>
      </c>
    </row>
    <row r="8" spans="1:32" s="16" customFormat="1" x14ac:dyDescent="0.45">
      <c r="A8" s="16" t="s">
        <v>36</v>
      </c>
      <c r="L8" s="20">
        <f>-利回り!$C$24</f>
        <v>-1000000</v>
      </c>
      <c r="V8" s="20">
        <f>-利回り!$C$24</f>
        <v>-1000000</v>
      </c>
      <c r="AF8" s="20">
        <f>-利回り!C24</f>
        <v>-1000000</v>
      </c>
    </row>
    <row r="9" spans="1:32" s="16" customFormat="1" x14ac:dyDescent="0.45">
      <c r="A9" s="16" t="s">
        <v>25</v>
      </c>
      <c r="C9" s="16">
        <f t="shared" ref="C9:AE9" si="1">C7*(1-$E$2)</f>
        <v>2520000</v>
      </c>
      <c r="D9" s="16">
        <f t="shared" si="1"/>
        <v>2494800</v>
      </c>
      <c r="E9" s="16">
        <f t="shared" si="1"/>
        <v>2469852</v>
      </c>
      <c r="F9" s="16">
        <f t="shared" si="1"/>
        <v>2445153.48</v>
      </c>
      <c r="G9" s="16">
        <f t="shared" si="1"/>
        <v>2420701.9452</v>
      </c>
      <c r="H9" s="16">
        <f t="shared" si="1"/>
        <v>2396494.9257479995</v>
      </c>
      <c r="I9" s="16">
        <f t="shared" si="1"/>
        <v>2372529.9764905199</v>
      </c>
      <c r="J9" s="16">
        <f t="shared" si="1"/>
        <v>2348804.6767256144</v>
      </c>
      <c r="K9" s="16">
        <f t="shared" si="1"/>
        <v>2325316.6299583581</v>
      </c>
      <c r="L9" s="16">
        <f>L7*(1-$E$2)+L8</f>
        <v>1302063.4636587747</v>
      </c>
      <c r="M9" s="16">
        <f t="shared" si="1"/>
        <v>2279042.8290221868</v>
      </c>
      <c r="N9" s="16">
        <f t="shared" si="1"/>
        <v>2256252.400731965</v>
      </c>
      <c r="O9" s="16">
        <f t="shared" si="1"/>
        <v>2233689.876724645</v>
      </c>
      <c r="P9" s="16">
        <f t="shared" si="1"/>
        <v>2211352.9779573986</v>
      </c>
      <c r="Q9" s="16">
        <f t="shared" si="1"/>
        <v>2189239.4481778247</v>
      </c>
      <c r="R9" s="16">
        <f t="shared" si="1"/>
        <v>2167347.0536960461</v>
      </c>
      <c r="S9" s="16">
        <f t="shared" si="1"/>
        <v>2145673.5831590858</v>
      </c>
      <c r="T9" s="16">
        <f t="shared" si="1"/>
        <v>2124216.847327495</v>
      </c>
      <c r="U9" s="16">
        <f t="shared" si="1"/>
        <v>2102974.6788542201</v>
      </c>
      <c r="V9" s="16">
        <f>V7*(1-$E$2)+V8</f>
        <v>1081944.9320656778</v>
      </c>
      <c r="W9" s="16">
        <f t="shared" si="1"/>
        <v>2061125.4827450211</v>
      </c>
      <c r="X9" s="16">
        <f t="shared" si="1"/>
        <v>2040514.2279175709</v>
      </c>
      <c r="Y9" s="16">
        <f t="shared" si="1"/>
        <v>2020109.085638395</v>
      </c>
      <c r="Z9" s="16">
        <f t="shared" si="1"/>
        <v>1999907.9947820113</v>
      </c>
      <c r="AA9" s="16">
        <f t="shared" si="1"/>
        <v>1979908.9148341913</v>
      </c>
      <c r="AB9" s="16">
        <f t="shared" si="1"/>
        <v>1960109.8256858492</v>
      </c>
      <c r="AC9" s="16">
        <f t="shared" si="1"/>
        <v>1940508.7274289906</v>
      </c>
      <c r="AD9" s="16">
        <f t="shared" si="1"/>
        <v>1921103.6401547007</v>
      </c>
      <c r="AE9" s="16">
        <f t="shared" si="1"/>
        <v>1901892.6037531537</v>
      </c>
      <c r="AF9" s="16">
        <f>AF7*(1-$E$2)+AF8</f>
        <v>882873.67771562212</v>
      </c>
    </row>
    <row r="10" spans="1:32" s="16" customFormat="1" x14ac:dyDescent="0.45">
      <c r="A10" s="16" t="s">
        <v>34</v>
      </c>
      <c r="C10" s="16">
        <f>IF(C6&lt;=利回り!$D$21,-利回り!$D$22,0)</f>
        <v>-1142857.142857143</v>
      </c>
      <c r="D10" s="16">
        <f>IF(D6&lt;=利回り!$D$21,-利回り!$D$22,0)</f>
        <v>-1142857.142857143</v>
      </c>
      <c r="E10" s="16">
        <f>IF(E6&lt;=利回り!$D$21,-利回り!$D$22,0)</f>
        <v>-1142857.142857143</v>
      </c>
      <c r="F10" s="16">
        <f>IF(F6&lt;=利回り!$D$21,-利回り!$D$22,0)</f>
        <v>-1142857.142857143</v>
      </c>
      <c r="G10" s="16">
        <f>IF(G6&lt;=利回り!$D$21,-利回り!$D$22,0)</f>
        <v>-1142857.142857143</v>
      </c>
      <c r="H10" s="16">
        <f>IF(H6&lt;=利回り!$D$21,-利回り!$D$22,0)</f>
        <v>-1142857.142857143</v>
      </c>
      <c r="I10" s="16">
        <f>IF(I6&lt;=利回り!$D$21,-利回り!$D$22,0)</f>
        <v>-1142857.142857143</v>
      </c>
      <c r="J10" s="16">
        <f>IF(J6&lt;=利回り!$D$21,-利回り!$D$22,0)</f>
        <v>-1142857.142857143</v>
      </c>
      <c r="K10" s="16">
        <f>IF(K6&lt;=利回り!$D$21,-利回り!$D$22,0)</f>
        <v>-1142857.142857143</v>
      </c>
      <c r="L10" s="16">
        <f>IF(L6&lt;=利回り!$D$21,-利回り!$D$22,0)+$L$8/利回り!$D$19</f>
        <v>-1188311.6883116884</v>
      </c>
      <c r="M10" s="16">
        <f>IF(M6&lt;=利回り!$D$21,-利回り!$D$22,0)+$L$8/利回り!$D$19</f>
        <v>-1188311.6883116884</v>
      </c>
      <c r="N10" s="16">
        <f>IF(N6&lt;=利回り!$D$21,-利回り!$D$22,0)+$L$8/利回り!$D$19</f>
        <v>-1188311.6883116884</v>
      </c>
      <c r="O10" s="16">
        <f>IF(O6&lt;=利回り!$D$21,-利回り!$D$22,0)+$L$8/利回り!$D$19</f>
        <v>-1188311.6883116884</v>
      </c>
      <c r="P10" s="16">
        <f>IF(P6&lt;=利回り!$D$21,-利回り!$D$22,0)+$L$8/利回り!$D$19</f>
        <v>-1188311.6883116884</v>
      </c>
      <c r="Q10" s="16">
        <f>IF(Q6&lt;=利回り!$D$21,-利回り!$D$22,0)+$L$8/利回り!$D$19</f>
        <v>-45454.545454545456</v>
      </c>
      <c r="R10" s="16">
        <f>IF(R6&lt;=利回り!$D$21,-利回り!$D$22,0)+$L$8/利回り!$D$19</f>
        <v>-45454.545454545456</v>
      </c>
      <c r="S10" s="16">
        <f>IF(S6&lt;=利回り!$D$21,-利回り!$D$22,0)+$L$8/利回り!$D$19</f>
        <v>-45454.545454545456</v>
      </c>
      <c r="T10" s="16">
        <f>IF(T6&lt;=利回り!$D$21,-利回り!$D$22,0)+$L$8/利回り!$D$19</f>
        <v>-45454.545454545456</v>
      </c>
      <c r="U10" s="16">
        <f>IF(U6&lt;=利回り!$D$21,-利回り!$D$22,0)+$L$8/利回り!$D$19</f>
        <v>-45454.545454545456</v>
      </c>
      <c r="V10" s="16">
        <f>IF(V6&lt;=利回り!$D$21,-利回り!$D$22,0)+$L$8/利回り!$D$19+$V$8/利回り!$D$19</f>
        <v>-90909.090909090912</v>
      </c>
      <c r="W10" s="16">
        <f>IF(W6&lt;=利回り!$D$21,-利回り!$D$22,0)+$L$8/利回り!$D$19+$V$8/利回り!$D$19</f>
        <v>-90909.090909090912</v>
      </c>
      <c r="X10" s="16">
        <f>IF(X6&lt;=利回り!$D$21,-利回り!$D$22,0)+$L$8/利回り!$D$19+$V$8/利回り!$D$19</f>
        <v>-90909.090909090912</v>
      </c>
      <c r="Y10" s="16">
        <f>IF(Y6&lt;=利回り!$D$21,-利回り!$D$22,0)+$L$8/利回り!$D$19+$V$8/利回り!$D$19</f>
        <v>-90909.090909090912</v>
      </c>
      <c r="Z10" s="16">
        <f>IF(Z6&lt;=利回り!$D$21,-利回り!$D$22,0)+$L$8/利回り!$D$19+$V$8/利回り!$D$19</f>
        <v>-90909.090909090912</v>
      </c>
      <c r="AA10" s="16">
        <f>IF(AA6&lt;=利回り!$D$21,-利回り!$D$22,0)+$L$8/利回り!$D$19+$V$8/利回り!$D$19</f>
        <v>-90909.090909090912</v>
      </c>
      <c r="AB10" s="16">
        <f>IF(AB6&lt;=利回り!$D$21,-利回り!$D$22,0)+$L$8/利回り!$D$19+$V$8/利回り!$D$19</f>
        <v>-90909.090909090912</v>
      </c>
      <c r="AC10" s="16">
        <f>IF(AC6&lt;=利回り!$D$21,-利回り!$D$22,0)+$L$8/利回り!$D$19+$V$8/利回り!$D$19</f>
        <v>-90909.090909090912</v>
      </c>
      <c r="AD10" s="16">
        <f>IF(AD6&lt;=利回り!$D$21,-利回り!$D$22,0)+$L$8/利回り!$D$19+$V$8/利回り!$D$19</f>
        <v>-90909.090909090912</v>
      </c>
      <c r="AE10" s="16">
        <f>IF(AE6&lt;=利回り!$D$21,-利回り!$D$22,0)+$L$8/利回り!$D$19+$V$8/利回り!$D$19</f>
        <v>-90909.090909090912</v>
      </c>
      <c r="AF10" s="16">
        <f>IF(AF6&lt;=利回り!$D$21,-利回り!$D$22,0)+$L$8/利回り!$D$19+$V$8/利回り!$D$19+$AF$8/利回り!$D$19</f>
        <v>-136363.63636363635</v>
      </c>
    </row>
    <row r="11" spans="1:32" s="16" customFormat="1" x14ac:dyDescent="0.45"/>
    <row r="12" spans="1:32" s="16" customFormat="1" x14ac:dyDescent="0.45">
      <c r="A12" s="76" t="str">
        <f>ローン計算!A9</f>
        <v>元金</v>
      </c>
      <c r="B12" s="76"/>
      <c r="C12" s="16">
        <f>ローン計算!B9</f>
        <v>-599829.51128674427</v>
      </c>
      <c r="D12" s="16">
        <f>ローン計算!C9</f>
        <v>-624266.51128674427</v>
      </c>
      <c r="E12" s="16">
        <f>ローン計算!D9</f>
        <v>-649702.51128674427</v>
      </c>
      <c r="F12" s="16">
        <f>ローン計算!E9</f>
        <v>-676169.51128674427</v>
      </c>
      <c r="G12" s="16">
        <f>ローン計算!F9</f>
        <v>-703718.51128674427</v>
      </c>
      <c r="H12" s="16">
        <f>ローン計算!G9</f>
        <v>-732388.51128674427</v>
      </c>
      <c r="I12" s="16">
        <f>ローン計算!H9</f>
        <v>-762227.51128674427</v>
      </c>
      <c r="J12" s="16">
        <f>ローン計算!I9</f>
        <v>-793281.51128674427</v>
      </c>
      <c r="K12" s="16">
        <f>ローン計算!J9</f>
        <v>-825602.51128674427</v>
      </c>
      <c r="L12" s="16">
        <f>ローン計算!K9</f>
        <v>-859237.51128674427</v>
      </c>
      <c r="M12" s="16">
        <f>ローン計算!L9</f>
        <v>-894244.51128674427</v>
      </c>
      <c r="N12" s="16">
        <f>ローン計算!M9</f>
        <v>-930676.51128674427</v>
      </c>
      <c r="O12" s="16">
        <f>ローン計算!N9</f>
        <v>-968595.51128674427</v>
      </c>
      <c r="P12" s="16">
        <f>ローン計算!O9</f>
        <v>-1008055.5112867443</v>
      </c>
      <c r="Q12" s="16">
        <f>ローン計算!P9</f>
        <v>-1049127.5112867441</v>
      </c>
      <c r="R12" s="16">
        <f>ローン計算!Q9</f>
        <v>-1091869.5112867441</v>
      </c>
      <c r="S12" s="16">
        <f>ローン計算!R9</f>
        <v>-1136354.5112867441</v>
      </c>
      <c r="T12" s="16">
        <f>ローン計算!S9</f>
        <v>-1182651.5112867441</v>
      </c>
      <c r="U12" s="16">
        <f>ローン計算!T9</f>
        <v>-1230836.5112867441</v>
      </c>
      <c r="V12" s="16">
        <f>ローン計算!U9</f>
        <v>-1280980.5112867439</v>
      </c>
      <c r="W12" s="16">
        <f>ローン計算!V9</f>
        <v>0</v>
      </c>
      <c r="X12" s="16">
        <f>ローン計算!W9</f>
        <v>0</v>
      </c>
      <c r="Y12" s="16">
        <f>ローン計算!X9</f>
        <v>0</v>
      </c>
      <c r="Z12" s="16">
        <f>ローン計算!Y9</f>
        <v>0</v>
      </c>
      <c r="AA12" s="16">
        <f>ローン計算!Z9</f>
        <v>0</v>
      </c>
      <c r="AB12" s="16">
        <f>ローン計算!AA9</f>
        <v>0</v>
      </c>
      <c r="AC12" s="16">
        <f>ローン計算!AB9</f>
        <v>0</v>
      </c>
      <c r="AD12" s="16">
        <f>ローン計算!AC9</f>
        <v>0</v>
      </c>
      <c r="AE12" s="16">
        <f>ローン計算!AD9</f>
        <v>0</v>
      </c>
      <c r="AF12" s="16">
        <f>ローン計算!AE9</f>
        <v>0</v>
      </c>
    </row>
    <row r="13" spans="1:32" x14ac:dyDescent="0.45">
      <c r="A13" s="76" t="str">
        <f>ローン計算!A10</f>
        <v>利息</v>
      </c>
      <c r="B13" s="76"/>
      <c r="C13" s="16">
        <f>ローン計算!B10</f>
        <v>-709088</v>
      </c>
      <c r="D13" s="16">
        <f>ローン計算!C10</f>
        <v>-684651</v>
      </c>
      <c r="E13" s="16">
        <f>ローン計算!D10</f>
        <v>-659215</v>
      </c>
      <c r="F13" s="16">
        <f>ローン計算!E10</f>
        <v>-632748</v>
      </c>
      <c r="G13" s="16">
        <f>ローン計算!F10</f>
        <v>-605199</v>
      </c>
      <c r="H13" s="16">
        <f>ローン計算!G10</f>
        <v>-576529</v>
      </c>
      <c r="I13" s="16">
        <f>ローン計算!H10</f>
        <v>-546690</v>
      </c>
      <c r="J13" s="16">
        <f>ローン計算!I10</f>
        <v>-515636</v>
      </c>
      <c r="K13" s="16">
        <f>ローン計算!J10</f>
        <v>-483315</v>
      </c>
      <c r="L13" s="16">
        <f>ローン計算!K10</f>
        <v>-449680</v>
      </c>
      <c r="M13" s="16">
        <f>ローン計算!L10</f>
        <v>-414673</v>
      </c>
      <c r="N13" s="16">
        <f>ローン計算!M10</f>
        <v>-378241</v>
      </c>
      <c r="O13" s="16">
        <f>ローン計算!N10</f>
        <v>-340322</v>
      </c>
      <c r="P13" s="16">
        <f>ローン計算!O10</f>
        <v>-300862</v>
      </c>
      <c r="Q13" s="16">
        <f>ローン計算!P10</f>
        <v>-259790</v>
      </c>
      <c r="R13" s="16">
        <f>ローン計算!Q10</f>
        <v>-217048</v>
      </c>
      <c r="S13" s="16">
        <f>ローン計算!R10</f>
        <v>-172563</v>
      </c>
      <c r="T13" s="16">
        <f>ローン計算!S10</f>
        <v>-126266</v>
      </c>
      <c r="U13" s="16">
        <f>ローン計算!T10</f>
        <v>-78081</v>
      </c>
      <c r="V13" s="16">
        <f>ローン計算!U10</f>
        <v>-27937</v>
      </c>
      <c r="W13" s="16">
        <f>ローン計算!V10</f>
        <v>0</v>
      </c>
      <c r="X13" s="16">
        <f>ローン計算!W10</f>
        <v>0</v>
      </c>
      <c r="Y13" s="16">
        <f>ローン計算!X10</f>
        <v>0</v>
      </c>
      <c r="Z13" s="16">
        <f>ローン計算!Y10</f>
        <v>0</v>
      </c>
      <c r="AA13" s="16">
        <f>ローン計算!Z10</f>
        <v>0</v>
      </c>
      <c r="AB13" s="16">
        <f>ローン計算!AA10</f>
        <v>0</v>
      </c>
      <c r="AC13" s="16">
        <f>ローン計算!AB10</f>
        <v>0</v>
      </c>
      <c r="AD13" s="16">
        <f>ローン計算!AC10</f>
        <v>0</v>
      </c>
      <c r="AE13" s="16">
        <f>ローン計算!AD10</f>
        <v>0</v>
      </c>
      <c r="AF13" s="16">
        <f>ローン計算!AE10</f>
        <v>0</v>
      </c>
    </row>
    <row r="14" spans="1:32" x14ac:dyDescent="0.45">
      <c r="A14" s="24" t="str">
        <f>ローン計算!A11</f>
        <v>合計</v>
      </c>
      <c r="B14" s="26" t="s">
        <v>13</v>
      </c>
      <c r="C14" s="16">
        <f>ローン計算!B11</f>
        <v>-1308917.5112867444</v>
      </c>
      <c r="D14" s="16">
        <f>ローン計算!C11</f>
        <v>-1308917.5112867444</v>
      </c>
      <c r="E14" s="16">
        <f>ローン計算!D11</f>
        <v>-1308917.5112867444</v>
      </c>
      <c r="F14" s="16">
        <f>ローン計算!E11</f>
        <v>-1308917.5112867444</v>
      </c>
      <c r="G14" s="16">
        <f>ローン計算!F11</f>
        <v>-1308917.5112867444</v>
      </c>
      <c r="H14" s="16">
        <f>ローン計算!G11</f>
        <v>-1308917.5112867444</v>
      </c>
      <c r="I14" s="16">
        <f>ローン計算!H11</f>
        <v>-1308917.5112867444</v>
      </c>
      <c r="J14" s="16">
        <f>ローン計算!I11</f>
        <v>-1308917.5112867444</v>
      </c>
      <c r="K14" s="16">
        <f>ローン計算!J11</f>
        <v>-1308917.5112867444</v>
      </c>
      <c r="L14" s="16">
        <f>ローン計算!K11</f>
        <v>-1308917.5112867444</v>
      </c>
      <c r="M14" s="16">
        <f>ローン計算!L11</f>
        <v>-1308917.5112867444</v>
      </c>
      <c r="N14" s="16">
        <f>ローン計算!M11</f>
        <v>-1308917.5112867444</v>
      </c>
      <c r="O14" s="16">
        <f>ローン計算!N11</f>
        <v>-1308917.5112867444</v>
      </c>
      <c r="P14" s="16">
        <f>ローン計算!O11</f>
        <v>-1308917.5112867444</v>
      </c>
      <c r="Q14" s="16">
        <f>ローン計算!P11</f>
        <v>-1308917.5112867441</v>
      </c>
      <c r="R14" s="16">
        <f>ローン計算!Q11</f>
        <v>-1308917.5112867441</v>
      </c>
      <c r="S14" s="16">
        <f>ローン計算!R11</f>
        <v>-1308917.5112867441</v>
      </c>
      <c r="T14" s="16">
        <f>ローン計算!S11</f>
        <v>-1308917.5112867441</v>
      </c>
      <c r="U14" s="16">
        <f>ローン計算!T11</f>
        <v>-1308917.5112867441</v>
      </c>
      <c r="V14" s="16">
        <f>ローン計算!U11</f>
        <v>-1308917.5112867439</v>
      </c>
      <c r="W14" s="16">
        <f>ローン計算!V11</f>
        <v>0</v>
      </c>
      <c r="X14" s="16">
        <f>ローン計算!W11</f>
        <v>0</v>
      </c>
      <c r="Y14" s="16">
        <f>ローン計算!X11</f>
        <v>0</v>
      </c>
      <c r="Z14" s="16">
        <f>ローン計算!Y11</f>
        <v>0</v>
      </c>
      <c r="AA14" s="16">
        <f>ローン計算!Z11</f>
        <v>0</v>
      </c>
      <c r="AB14" s="16">
        <f>ローン計算!AA11</f>
        <v>0</v>
      </c>
      <c r="AC14" s="16">
        <f>ローン計算!AB11</f>
        <v>0</v>
      </c>
      <c r="AD14" s="16">
        <f>ローン計算!AC11</f>
        <v>0</v>
      </c>
      <c r="AE14" s="16">
        <f>ローン計算!AD11</f>
        <v>0</v>
      </c>
      <c r="AF14" s="16">
        <f>ローン計算!AE11</f>
        <v>0</v>
      </c>
    </row>
    <row r="15" spans="1:32" x14ac:dyDescent="0.45">
      <c r="A15" s="24" t="str">
        <f>ローン計算!A12</f>
        <v>ローン残債</v>
      </c>
      <c r="B15" s="24">
        <f>利回り!$F$2</f>
        <v>18000000</v>
      </c>
      <c r="C15" s="16">
        <f>ローン計算!B12</f>
        <v>17400170.488713257</v>
      </c>
      <c r="D15" s="16">
        <f>ローン計算!C12</f>
        <v>16775903.977426512</v>
      </c>
      <c r="E15" s="16">
        <f>ローン計算!D12</f>
        <v>16126201.466139767</v>
      </c>
      <c r="F15" s="16">
        <f>ローン計算!E12</f>
        <v>15450031.954853022</v>
      </c>
      <c r="G15" s="16">
        <f>ローン計算!F12</f>
        <v>14746313.443566278</v>
      </c>
      <c r="H15" s="16">
        <f>ローン計算!G12</f>
        <v>14013924.932279533</v>
      </c>
      <c r="I15" s="16">
        <f>ローン計算!H12</f>
        <v>13251697.420992788</v>
      </c>
      <c r="J15" s="16">
        <f>ローン計算!I12</f>
        <v>12458415.909706043</v>
      </c>
      <c r="K15" s="16">
        <f>ローン計算!J12</f>
        <v>11632813.398419298</v>
      </c>
      <c r="L15" s="16">
        <f>ローン計算!K12</f>
        <v>10773575.887132553</v>
      </c>
      <c r="M15" s="16">
        <f>ローン計算!L12</f>
        <v>9879331.3758458085</v>
      </c>
      <c r="N15" s="16">
        <f>ローン計算!M12</f>
        <v>8948654.8645590637</v>
      </c>
      <c r="O15" s="16">
        <f>ローン計算!N12</f>
        <v>7980059.3532723198</v>
      </c>
      <c r="P15" s="16">
        <f>ローン計算!O12</f>
        <v>6972003.8419855759</v>
      </c>
      <c r="Q15" s="16">
        <f>ローン計算!P12</f>
        <v>5922876.3306988319</v>
      </c>
      <c r="R15" s="16">
        <f>ローン計算!Q12</f>
        <v>4831006.819412088</v>
      </c>
      <c r="S15" s="16">
        <f>ローン計算!R12</f>
        <v>3694652.3081253441</v>
      </c>
      <c r="T15" s="16">
        <f>ローン計算!S12</f>
        <v>2512000.7968386002</v>
      </c>
      <c r="U15" s="16">
        <f>ローン計算!T12</f>
        <v>1281164.285551856</v>
      </c>
      <c r="V15" s="16">
        <f>ローン計算!U12</f>
        <v>183.77426511212252</v>
      </c>
      <c r="W15" s="16">
        <f>ローン計算!V12</f>
        <v>183.77426511212252</v>
      </c>
      <c r="X15" s="16">
        <f>ローン計算!W12</f>
        <v>183.77426511212252</v>
      </c>
      <c r="Y15" s="16">
        <f>ローン計算!X12</f>
        <v>183.77426511212252</v>
      </c>
      <c r="Z15" s="16">
        <f>ローン計算!Y12</f>
        <v>183.77426511212252</v>
      </c>
      <c r="AA15" s="16">
        <f>ローン計算!Z12</f>
        <v>183.77426511212252</v>
      </c>
      <c r="AB15" s="16">
        <f>ローン計算!AA12</f>
        <v>183.77426511212252</v>
      </c>
      <c r="AC15" s="16">
        <f>ローン計算!AB12</f>
        <v>183.77426511212252</v>
      </c>
      <c r="AD15" s="16">
        <f>ローン計算!AC12</f>
        <v>183.77426511212252</v>
      </c>
      <c r="AE15" s="16">
        <f>ローン計算!AD12</f>
        <v>183.77426511212252</v>
      </c>
      <c r="AF15" s="16">
        <f>ローン計算!AE12</f>
        <v>183.77426511212252</v>
      </c>
    </row>
    <row r="16" spans="1:32" x14ac:dyDescent="0.45">
      <c r="A16" s="13"/>
      <c r="B16" s="13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</row>
    <row r="17" spans="1:32" s="16" customFormat="1" x14ac:dyDescent="0.45">
      <c r="A17" s="16" t="s">
        <v>35</v>
      </c>
      <c r="C17" s="16">
        <f>IF(C9+C10+C13&gt;0,-(C9+C10+C13)*$E$3,0)</f>
        <v>-200416.45714285711</v>
      </c>
      <c r="D17" s="16">
        <f>IF(D9+D10+D13&gt;0,-(D9+D10+D13)*$E$3,0)</f>
        <v>-200187.55714285711</v>
      </c>
      <c r="E17" s="16">
        <f>IF(E9+E10+E13&gt;0,-(E9+E10+E13)*$E$3,0)</f>
        <v>-200333.95714285711</v>
      </c>
      <c r="F17" s="16">
        <f>IF(F9+F10+F13&gt;0,-(F9+F10+F13)*$E$3,0)</f>
        <v>-200864.5011428571</v>
      </c>
      <c r="G17" s="16">
        <f>IF(G9+G10+G13&gt;0,-(G9+G10+G13)*$E$3,0)</f>
        <v>-201793.74070285709</v>
      </c>
      <c r="H17" s="16">
        <f t="shared" ref="H17:AF17" si="2">IF(H9+H10+H13&gt;0,-(H9+H10+H13)*$E$3,0)</f>
        <v>-203132.63486725694</v>
      </c>
      <c r="I17" s="16">
        <f t="shared" si="2"/>
        <v>-204894.85009001309</v>
      </c>
      <c r="J17" s="16">
        <f t="shared" si="2"/>
        <v>-207093.46016054141</v>
      </c>
      <c r="K17" s="16">
        <f t="shared" si="2"/>
        <v>-209743.34613036455</v>
      </c>
      <c r="L17" s="16">
        <f t="shared" si="2"/>
        <v>0</v>
      </c>
      <c r="M17" s="16">
        <f t="shared" si="2"/>
        <v>-202817.44221314954</v>
      </c>
      <c r="N17" s="16">
        <f t="shared" si="2"/>
        <v>-206909.91372608297</v>
      </c>
      <c r="O17" s="16">
        <f t="shared" si="2"/>
        <v>-211516.85652388699</v>
      </c>
      <c r="P17" s="16">
        <f t="shared" si="2"/>
        <v>-216653.78689371308</v>
      </c>
      <c r="Q17" s="16">
        <f t="shared" si="2"/>
        <v>-565198.47081698372</v>
      </c>
      <c r="R17" s="16">
        <f t="shared" si="2"/>
        <v>-571453.35247245023</v>
      </c>
      <c r="S17" s="16">
        <f t="shared" si="2"/>
        <v>-578296.81131136208</v>
      </c>
      <c r="T17" s="16">
        <f t="shared" si="2"/>
        <v>-585748.89056188485</v>
      </c>
      <c r="U17" s="16">
        <f t="shared" si="2"/>
        <v>-593831.74001990235</v>
      </c>
      <c r="V17" s="16">
        <f t="shared" si="2"/>
        <v>-288929.65234697604</v>
      </c>
      <c r="W17" s="16">
        <f t="shared" si="2"/>
        <v>-591064.91755077906</v>
      </c>
      <c r="X17" s="16">
        <f t="shared" si="2"/>
        <v>-584881.54110254394</v>
      </c>
      <c r="Y17" s="16">
        <f t="shared" si="2"/>
        <v>-578759.99841879122</v>
      </c>
      <c r="Z17" s="16">
        <f t="shared" si="2"/>
        <v>-572699.67116187606</v>
      </c>
      <c r="AA17" s="16">
        <f t="shared" si="2"/>
        <v>-566699.94717753015</v>
      </c>
      <c r="AB17" s="16">
        <f t="shared" si="2"/>
        <v>-560760.22043302748</v>
      </c>
      <c r="AC17" s="16">
        <f t="shared" si="2"/>
        <v>-554879.89095596992</v>
      </c>
      <c r="AD17" s="16">
        <f>IF(AD9+AD10+AD13&gt;0,-(AD9+AD10+AD13)*$E$3,0)</f>
        <v>-549058.3647736829</v>
      </c>
      <c r="AE17" s="16">
        <f t="shared" si="2"/>
        <v>-543295.05385321879</v>
      </c>
      <c r="AF17" s="16">
        <f t="shared" si="2"/>
        <v>-223953.01240559571</v>
      </c>
    </row>
    <row r="18" spans="1:32" s="16" customFormat="1" x14ac:dyDescent="0.45">
      <c r="A18" s="16" t="s">
        <v>9</v>
      </c>
      <c r="C18" s="16">
        <f>C9+C10+C13+C17</f>
        <v>467638.39999999991</v>
      </c>
      <c r="D18" s="16">
        <f t="shared" ref="D18:AF18" si="3">D9+D10+D13+D17</f>
        <v>467104.29999999993</v>
      </c>
      <c r="E18" s="16">
        <f t="shared" si="3"/>
        <v>467445.89999999991</v>
      </c>
      <c r="F18" s="16">
        <f t="shared" si="3"/>
        <v>468683.83599999989</v>
      </c>
      <c r="G18" s="16">
        <f t="shared" si="3"/>
        <v>470852.06163999991</v>
      </c>
      <c r="H18" s="16">
        <f t="shared" si="3"/>
        <v>473976.14802359953</v>
      </c>
      <c r="I18" s="16">
        <f t="shared" si="3"/>
        <v>478087.98354336387</v>
      </c>
      <c r="J18" s="16">
        <f t="shared" si="3"/>
        <v>483218.07370792999</v>
      </c>
      <c r="K18" s="16">
        <f t="shared" si="3"/>
        <v>489401.1409708506</v>
      </c>
      <c r="L18" s="16">
        <f t="shared" si="3"/>
        <v>-335928.22465291363</v>
      </c>
      <c r="M18" s="16">
        <f t="shared" si="3"/>
        <v>473240.69849734893</v>
      </c>
      <c r="N18" s="16">
        <f t="shared" si="3"/>
        <v>482789.7986941936</v>
      </c>
      <c r="O18" s="16">
        <f t="shared" si="3"/>
        <v>493539.33188906964</v>
      </c>
      <c r="P18" s="16">
        <f t="shared" si="3"/>
        <v>505525.50275199721</v>
      </c>
      <c r="Q18" s="16">
        <f t="shared" si="3"/>
        <v>1318796.4319062955</v>
      </c>
      <c r="R18" s="16">
        <f t="shared" si="3"/>
        <v>1333391.1557690506</v>
      </c>
      <c r="S18" s="16">
        <f t="shared" si="3"/>
        <v>1349359.2263931783</v>
      </c>
      <c r="T18" s="16">
        <f t="shared" si="3"/>
        <v>1366747.4113110648</v>
      </c>
      <c r="U18" s="16">
        <f t="shared" si="3"/>
        <v>1385607.3933797723</v>
      </c>
      <c r="V18" s="16">
        <f t="shared" si="3"/>
        <v>674169.1888096109</v>
      </c>
      <c r="W18" s="16">
        <f t="shared" si="3"/>
        <v>1379151.4742851513</v>
      </c>
      <c r="X18" s="16">
        <f t="shared" si="3"/>
        <v>1364723.5959059361</v>
      </c>
      <c r="Y18" s="16">
        <f t="shared" si="3"/>
        <v>1350439.996310513</v>
      </c>
      <c r="Z18" s="16">
        <f t="shared" si="3"/>
        <v>1336299.2327110444</v>
      </c>
      <c r="AA18" s="16">
        <f t="shared" si="3"/>
        <v>1322299.8767475705</v>
      </c>
      <c r="AB18" s="16">
        <f t="shared" si="3"/>
        <v>1308440.5143437309</v>
      </c>
      <c r="AC18" s="16">
        <f t="shared" si="3"/>
        <v>1294719.7455639299</v>
      </c>
      <c r="AD18" s="16">
        <f t="shared" si="3"/>
        <v>1281136.1844719271</v>
      </c>
      <c r="AE18" s="16">
        <f t="shared" si="3"/>
        <v>1267688.458990844</v>
      </c>
      <c r="AF18" s="16">
        <f t="shared" si="3"/>
        <v>522557.02894639003</v>
      </c>
    </row>
    <row r="19" spans="1:32" s="16" customFormat="1" x14ac:dyDescent="0.45">
      <c r="A19" s="16" t="s">
        <v>26</v>
      </c>
      <c r="C19" s="16">
        <f>C18</f>
        <v>467638.39999999991</v>
      </c>
      <c r="D19" s="16">
        <f>C19+D18</f>
        <v>934742.69999999984</v>
      </c>
      <c r="E19" s="16">
        <f>D19+E18</f>
        <v>1402188.5999999996</v>
      </c>
      <c r="F19" s="16">
        <f t="shared" ref="F19:AF19" si="4">E19+F18</f>
        <v>1870872.4359999995</v>
      </c>
      <c r="G19" s="16">
        <f t="shared" si="4"/>
        <v>2341724.4976399993</v>
      </c>
      <c r="H19" s="16">
        <f t="shared" si="4"/>
        <v>2815700.6456635986</v>
      </c>
      <c r="I19" s="16">
        <f t="shared" si="4"/>
        <v>3293788.6292069624</v>
      </c>
      <c r="J19" s="16">
        <f t="shared" si="4"/>
        <v>3777006.7029148922</v>
      </c>
      <c r="K19" s="16">
        <f t="shared" si="4"/>
        <v>4266407.8438857431</v>
      </c>
      <c r="L19" s="16">
        <f t="shared" si="4"/>
        <v>3930479.6192328297</v>
      </c>
      <c r="M19" s="16">
        <f t="shared" si="4"/>
        <v>4403720.3177301791</v>
      </c>
      <c r="N19" s="16">
        <f t="shared" si="4"/>
        <v>4886510.1164243724</v>
      </c>
      <c r="O19" s="16">
        <f t="shared" si="4"/>
        <v>5380049.4483134421</v>
      </c>
      <c r="P19" s="16">
        <f t="shared" si="4"/>
        <v>5885574.9510654397</v>
      </c>
      <c r="Q19" s="16">
        <f t="shared" si="4"/>
        <v>7204371.3829717357</v>
      </c>
      <c r="R19" s="16">
        <f t="shared" si="4"/>
        <v>8537762.5387407858</v>
      </c>
      <c r="S19" s="16">
        <f t="shared" si="4"/>
        <v>9887121.7651339639</v>
      </c>
      <c r="T19" s="16">
        <f t="shared" si="4"/>
        <v>11253869.17644503</v>
      </c>
      <c r="U19" s="16">
        <f t="shared" si="4"/>
        <v>12639476.569824802</v>
      </c>
      <c r="V19" s="16">
        <f t="shared" si="4"/>
        <v>13313645.758634413</v>
      </c>
      <c r="W19" s="16">
        <f t="shared" si="4"/>
        <v>14692797.232919564</v>
      </c>
      <c r="X19" s="16">
        <f t="shared" si="4"/>
        <v>16057520.8288255</v>
      </c>
      <c r="Y19" s="16">
        <f t="shared" si="4"/>
        <v>17407960.825136013</v>
      </c>
      <c r="Z19" s="16">
        <f t="shared" si="4"/>
        <v>18744260.057847057</v>
      </c>
      <c r="AA19" s="16">
        <f t="shared" si="4"/>
        <v>20066559.934594627</v>
      </c>
      <c r="AB19" s="16">
        <f t="shared" si="4"/>
        <v>21375000.448938359</v>
      </c>
      <c r="AC19" s="16">
        <f t="shared" si="4"/>
        <v>22669720.194502287</v>
      </c>
      <c r="AD19" s="16">
        <f t="shared" si="4"/>
        <v>23950856.378974214</v>
      </c>
      <c r="AE19" s="16">
        <f t="shared" si="4"/>
        <v>25218544.837965056</v>
      </c>
      <c r="AF19" s="16">
        <f t="shared" si="4"/>
        <v>25741101.866911445</v>
      </c>
    </row>
    <row r="20" spans="1:32" s="13" customFormat="1" x14ac:dyDescent="0.45">
      <c r="B20" s="25" t="s">
        <v>12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</row>
    <row r="21" spans="1:32" s="16" customFormat="1" x14ac:dyDescent="0.45">
      <c r="A21" s="16" t="s">
        <v>96</v>
      </c>
      <c r="B21" s="16">
        <f>-利回り!$F$3</f>
        <v>-4000000</v>
      </c>
      <c r="C21" s="16">
        <f>C9+C14+C17</f>
        <v>1010666.0315703985</v>
      </c>
      <c r="D21" s="16">
        <f t="shared" ref="D21:AF21" si="5">D9+D14+D17</f>
        <v>985694.9315703985</v>
      </c>
      <c r="E21" s="16">
        <f t="shared" si="5"/>
        <v>960600.53157039848</v>
      </c>
      <c r="F21" s="16">
        <f t="shared" si="5"/>
        <v>935371.46757039847</v>
      </c>
      <c r="G21" s="16">
        <f t="shared" si="5"/>
        <v>909990.69321039855</v>
      </c>
      <c r="H21" s="16">
        <f t="shared" si="5"/>
        <v>884444.7795939981</v>
      </c>
      <c r="I21" s="16">
        <f t="shared" si="5"/>
        <v>858717.61511376244</v>
      </c>
      <c r="J21" s="16">
        <f t="shared" si="5"/>
        <v>832793.70527832862</v>
      </c>
      <c r="K21" s="16">
        <f t="shared" si="5"/>
        <v>806655.77254124917</v>
      </c>
      <c r="L21" s="16">
        <f t="shared" si="5"/>
        <v>-6854.047627969645</v>
      </c>
      <c r="M21" s="16">
        <f t="shared" si="5"/>
        <v>767307.87552229292</v>
      </c>
      <c r="N21" s="16">
        <f t="shared" si="5"/>
        <v>740424.97571913758</v>
      </c>
      <c r="O21" s="16">
        <f t="shared" si="5"/>
        <v>713255.50891401363</v>
      </c>
      <c r="P21" s="16">
        <f t="shared" si="5"/>
        <v>685781.67977694119</v>
      </c>
      <c r="Q21" s="16">
        <f t="shared" si="5"/>
        <v>315123.46607409685</v>
      </c>
      <c r="R21" s="16">
        <f t="shared" si="5"/>
        <v>286976.18993685173</v>
      </c>
      <c r="S21" s="16">
        <f t="shared" si="5"/>
        <v>258459.2605609796</v>
      </c>
      <c r="T21" s="16">
        <f t="shared" si="5"/>
        <v>229550.44547886599</v>
      </c>
      <c r="U21" s="16">
        <f t="shared" si="5"/>
        <v>200225.42754757358</v>
      </c>
      <c r="V21" s="16">
        <f t="shared" si="5"/>
        <v>-515902.23156804213</v>
      </c>
      <c r="W21" s="16">
        <f t="shared" si="5"/>
        <v>1470060.5651942422</v>
      </c>
      <c r="X21" s="16">
        <f t="shared" si="5"/>
        <v>1455632.6868150269</v>
      </c>
      <c r="Y21" s="16">
        <f t="shared" si="5"/>
        <v>1441349.0872196038</v>
      </c>
      <c r="Z21" s="16">
        <f t="shared" si="5"/>
        <v>1427208.3236201352</v>
      </c>
      <c r="AA21" s="16">
        <f t="shared" si="5"/>
        <v>1413208.9676566613</v>
      </c>
      <c r="AB21" s="16">
        <f t="shared" si="5"/>
        <v>1399349.6052528217</v>
      </c>
      <c r="AC21" s="16">
        <f t="shared" si="5"/>
        <v>1385628.8364730207</v>
      </c>
      <c r="AD21" s="16">
        <f t="shared" si="5"/>
        <v>1372045.2753810179</v>
      </c>
      <c r="AE21" s="16">
        <f t="shared" si="5"/>
        <v>1358597.5498999348</v>
      </c>
      <c r="AF21" s="16">
        <f t="shared" si="5"/>
        <v>658920.66531002638</v>
      </c>
    </row>
    <row r="22" spans="1:32" x14ac:dyDescent="0.45">
      <c r="A22" t="s">
        <v>95</v>
      </c>
      <c r="B22" s="16">
        <f>B21</f>
        <v>-4000000</v>
      </c>
      <c r="C22" s="16">
        <f>B22+C21</f>
        <v>-2989333.9684296018</v>
      </c>
      <c r="D22" s="16">
        <f>C22+D21</f>
        <v>-2003639.0368592031</v>
      </c>
      <c r="E22" s="16">
        <f>D22+E21</f>
        <v>-1043038.5052888046</v>
      </c>
      <c r="F22" s="16">
        <f t="shared" ref="F22:AF22" si="6">E22+F21</f>
        <v>-107667.03771840618</v>
      </c>
      <c r="G22" s="16">
        <f t="shared" si="6"/>
        <v>802323.65549199237</v>
      </c>
      <c r="H22" s="16">
        <f t="shared" si="6"/>
        <v>1686768.4350859905</v>
      </c>
      <c r="I22" s="16">
        <f t="shared" si="6"/>
        <v>2545486.0501997527</v>
      </c>
      <c r="J22" s="16">
        <f t="shared" si="6"/>
        <v>3378279.7554780813</v>
      </c>
      <c r="K22" s="16">
        <f t="shared" si="6"/>
        <v>4184935.5280193305</v>
      </c>
      <c r="L22" s="16">
        <f t="shared" si="6"/>
        <v>4178081.4803913608</v>
      </c>
      <c r="M22" s="16">
        <f t="shared" si="6"/>
        <v>4945389.355913654</v>
      </c>
      <c r="N22" s="16">
        <f t="shared" si="6"/>
        <v>5685814.3316327911</v>
      </c>
      <c r="O22" s="16">
        <f t="shared" si="6"/>
        <v>6399069.8405468045</v>
      </c>
      <c r="P22" s="16">
        <f t="shared" si="6"/>
        <v>7084851.5203237459</v>
      </c>
      <c r="Q22" s="16">
        <f t="shared" si="6"/>
        <v>7399974.9863978429</v>
      </c>
      <c r="R22" s="16">
        <f t="shared" si="6"/>
        <v>7686951.176334695</v>
      </c>
      <c r="S22" s="16">
        <f t="shared" si="6"/>
        <v>7945410.4368956741</v>
      </c>
      <c r="T22" s="16">
        <f t="shared" si="6"/>
        <v>8174960.88237454</v>
      </c>
      <c r="U22" s="16">
        <f t="shared" si="6"/>
        <v>8375186.309922114</v>
      </c>
      <c r="V22" s="16">
        <f t="shared" si="6"/>
        <v>7859284.0783540718</v>
      </c>
      <c r="W22" s="16">
        <f t="shared" si="6"/>
        <v>9329344.6435483135</v>
      </c>
      <c r="X22" s="16">
        <f t="shared" si="6"/>
        <v>10784977.330363341</v>
      </c>
      <c r="Y22" s="16">
        <f t="shared" si="6"/>
        <v>12226326.417582944</v>
      </c>
      <c r="Z22" s="16">
        <f t="shared" si="6"/>
        <v>13653534.741203079</v>
      </c>
      <c r="AA22" s="16">
        <f t="shared" si="6"/>
        <v>15066743.70885974</v>
      </c>
      <c r="AB22" s="16">
        <f t="shared" si="6"/>
        <v>16466093.314112561</v>
      </c>
      <c r="AC22" s="16">
        <f t="shared" si="6"/>
        <v>17851722.150585581</v>
      </c>
      <c r="AD22" s="16">
        <f t="shared" si="6"/>
        <v>19223767.425966598</v>
      </c>
      <c r="AE22" s="16">
        <f t="shared" si="6"/>
        <v>20582364.975866534</v>
      </c>
      <c r="AF22" s="16">
        <f t="shared" si="6"/>
        <v>21241285.641176559</v>
      </c>
    </row>
    <row r="23" spans="1:32" x14ac:dyDescent="0.45">
      <c r="B23" s="23" t="s">
        <v>57</v>
      </c>
      <c r="C23" s="23"/>
    </row>
    <row r="24" spans="1:32" s="13" customFormat="1" x14ac:dyDescent="0.45">
      <c r="A24" s="13" t="s">
        <v>38</v>
      </c>
      <c r="B24" s="13">
        <f>利回り!$D$17+利回り!$C$10</f>
        <v>16000000</v>
      </c>
      <c r="C24" s="13">
        <f t="shared" ref="C24:K24" si="7">B24+C10</f>
        <v>14857142.857142856</v>
      </c>
      <c r="D24" s="13">
        <f t="shared" si="7"/>
        <v>13714285.714285713</v>
      </c>
      <c r="E24" s="13">
        <f t="shared" si="7"/>
        <v>12571428.571428569</v>
      </c>
      <c r="F24" s="13">
        <f t="shared" si="7"/>
        <v>11428571.428571425</v>
      </c>
      <c r="G24" s="13">
        <f t="shared" si="7"/>
        <v>10285714.285714282</v>
      </c>
      <c r="H24" s="13">
        <f t="shared" si="7"/>
        <v>9142857.1428571381</v>
      </c>
      <c r="I24" s="13">
        <f t="shared" si="7"/>
        <v>7999999.9999999953</v>
      </c>
      <c r="J24" s="13">
        <f t="shared" si="7"/>
        <v>6857142.8571428526</v>
      </c>
      <c r="K24" s="13">
        <f t="shared" si="7"/>
        <v>5714285.7142857099</v>
      </c>
      <c r="L24" s="13">
        <f>K24-L8+L10</f>
        <v>5525974.0259740213</v>
      </c>
      <c r="M24" s="13">
        <f t="shared" ref="M24:U24" si="8">L24+M10</f>
        <v>4337662.3376623327</v>
      </c>
      <c r="N24" s="13">
        <f t="shared" si="8"/>
        <v>3149350.6493506441</v>
      </c>
      <c r="O24" s="13">
        <f t="shared" si="8"/>
        <v>1961038.9610389557</v>
      </c>
      <c r="P24" s="13">
        <f t="shared" si="8"/>
        <v>772727.27272726735</v>
      </c>
      <c r="Q24" s="13">
        <f t="shared" si="8"/>
        <v>727272.72727272194</v>
      </c>
      <c r="R24" s="13">
        <f t="shared" si="8"/>
        <v>681818.18181817653</v>
      </c>
      <c r="S24" s="13">
        <f t="shared" si="8"/>
        <v>636363.63636363111</v>
      </c>
      <c r="T24" s="13">
        <f t="shared" si="8"/>
        <v>590909.0909090857</v>
      </c>
      <c r="U24" s="13">
        <f t="shared" si="8"/>
        <v>545454.54545454029</v>
      </c>
      <c r="V24" s="13">
        <f>U24-V8+V10</f>
        <v>1454545.4545454495</v>
      </c>
      <c r="W24" s="13">
        <f t="shared" ref="W24:AE24" si="9">V24+W10</f>
        <v>1363636.3636363586</v>
      </c>
      <c r="X24" s="13">
        <f t="shared" si="9"/>
        <v>1272727.2727272678</v>
      </c>
      <c r="Y24" s="13">
        <f t="shared" si="9"/>
        <v>1181818.181818177</v>
      </c>
      <c r="Z24" s="13">
        <f t="shared" si="9"/>
        <v>1090909.0909090862</v>
      </c>
      <c r="AA24" s="13">
        <f t="shared" si="9"/>
        <v>999999.99999999523</v>
      </c>
      <c r="AB24" s="13">
        <f t="shared" si="9"/>
        <v>909090.90909090429</v>
      </c>
      <c r="AC24" s="13">
        <f t="shared" si="9"/>
        <v>818181.81818181335</v>
      </c>
      <c r="AD24" s="13">
        <f t="shared" si="9"/>
        <v>727272.7272727224</v>
      </c>
      <c r="AE24" s="13">
        <f t="shared" si="9"/>
        <v>636363.63636363146</v>
      </c>
      <c r="AF24" s="13">
        <f>AE24-AF8+AF10</f>
        <v>1499999.9999999953</v>
      </c>
    </row>
    <row r="25" spans="1:32" s="13" customFormat="1" x14ac:dyDescent="0.45">
      <c r="A25" s="13" t="s">
        <v>37</v>
      </c>
      <c r="B25" s="13">
        <f>利回り!$C$3-利回り!$D$17</f>
        <v>5000000</v>
      </c>
      <c r="C25" s="13">
        <f>利回り!$C$3-利回り!$D$17</f>
        <v>5000000</v>
      </c>
      <c r="D25" s="13">
        <f>利回り!$C$3-利回り!$D$17</f>
        <v>5000000</v>
      </c>
      <c r="E25" s="13">
        <f>利回り!$C$3-利回り!$D$17</f>
        <v>5000000</v>
      </c>
      <c r="F25" s="13">
        <f>利回り!$C$3-利回り!$D$17</f>
        <v>5000000</v>
      </c>
      <c r="G25" s="13">
        <f>利回り!$C$3-利回り!$D$17</f>
        <v>5000000</v>
      </c>
      <c r="H25" s="13">
        <f>利回り!$C$3-利回り!$D$17</f>
        <v>5000000</v>
      </c>
      <c r="I25" s="13">
        <f>利回り!$C$3-利回り!$D$17</f>
        <v>5000000</v>
      </c>
      <c r="J25" s="13">
        <f>利回り!$C$3-利回り!$D$17</f>
        <v>5000000</v>
      </c>
      <c r="K25" s="13">
        <f>利回り!$C$3-利回り!$D$17</f>
        <v>5000000</v>
      </c>
      <c r="L25" s="13">
        <f>利回り!$C$3-利回り!$D$17</f>
        <v>5000000</v>
      </c>
      <c r="M25" s="13">
        <f>利回り!$C$3-利回り!$D$17</f>
        <v>5000000</v>
      </c>
      <c r="N25" s="13">
        <f>利回り!$C$3-利回り!$D$17</f>
        <v>5000000</v>
      </c>
      <c r="O25" s="13">
        <f>利回り!$C$3-利回り!$D$17</f>
        <v>5000000</v>
      </c>
      <c r="P25" s="13">
        <f>利回り!$C$3-利回り!$D$17</f>
        <v>5000000</v>
      </c>
      <c r="Q25" s="13">
        <f>利回り!$C$3-利回り!$D$17</f>
        <v>5000000</v>
      </c>
      <c r="R25" s="13">
        <f>利回り!$C$3-利回り!$D$17</f>
        <v>5000000</v>
      </c>
      <c r="S25" s="13">
        <f>利回り!$C$3-利回り!$D$17</f>
        <v>5000000</v>
      </c>
      <c r="T25" s="13">
        <f>利回り!$C$3-利回り!$D$17</f>
        <v>5000000</v>
      </c>
      <c r="U25" s="13">
        <f>利回り!$C$3-利回り!$D$17</f>
        <v>5000000</v>
      </c>
      <c r="V25" s="13">
        <f>利回り!$C$3-利回り!$D$17</f>
        <v>5000000</v>
      </c>
      <c r="W25" s="13">
        <f>利回り!$C$3-利回り!$D$17</f>
        <v>5000000</v>
      </c>
      <c r="X25" s="13">
        <f>利回り!$C$3-利回り!$D$17</f>
        <v>5000000</v>
      </c>
      <c r="Y25" s="13">
        <f>利回り!$C$3-利回り!$D$17</f>
        <v>5000000</v>
      </c>
      <c r="Z25" s="13">
        <f>利回り!$C$3-利回り!$D$17</f>
        <v>5000000</v>
      </c>
      <c r="AA25" s="13">
        <f>利回り!$C$3-利回り!$D$17</f>
        <v>5000000</v>
      </c>
      <c r="AB25" s="13">
        <f>利回り!$C$3-利回り!$D$17</f>
        <v>5000000</v>
      </c>
      <c r="AC25" s="13">
        <f>利回り!$C$3-利回り!$D$17</f>
        <v>5000000</v>
      </c>
      <c r="AD25" s="13">
        <f>利回り!$C$3-利回り!$D$17</f>
        <v>5000000</v>
      </c>
      <c r="AE25" s="13">
        <f>利回り!$C$3-利回り!$D$17</f>
        <v>5000000</v>
      </c>
      <c r="AF25" s="13">
        <f>利回り!$C$3-利回り!$D$17</f>
        <v>5000000</v>
      </c>
    </row>
    <row r="26" spans="1:32" x14ac:dyDescent="0.45">
      <c r="A26" t="s">
        <v>92</v>
      </c>
      <c r="B26" s="13">
        <f>B24+B25</f>
        <v>21000000</v>
      </c>
      <c r="C26" s="13">
        <f t="shared" ref="C26:AF26" si="10">C24+C25</f>
        <v>19857142.857142858</v>
      </c>
      <c r="D26" s="13">
        <f t="shared" si="10"/>
        <v>18714285.714285713</v>
      </c>
      <c r="E26" s="13">
        <f t="shared" si="10"/>
        <v>17571428.571428567</v>
      </c>
      <c r="F26" s="13">
        <f t="shared" si="10"/>
        <v>16428571.428571425</v>
      </c>
      <c r="G26" s="13">
        <f t="shared" si="10"/>
        <v>15285714.285714282</v>
      </c>
      <c r="H26" s="13">
        <f t="shared" si="10"/>
        <v>14142857.142857138</v>
      </c>
      <c r="I26" s="13">
        <f t="shared" si="10"/>
        <v>12999999.999999996</v>
      </c>
      <c r="J26" s="13">
        <f t="shared" si="10"/>
        <v>11857142.857142853</v>
      </c>
      <c r="K26" s="13">
        <f t="shared" si="10"/>
        <v>10714285.714285709</v>
      </c>
      <c r="L26" s="13">
        <f t="shared" si="10"/>
        <v>10525974.02597402</v>
      </c>
      <c r="M26" s="13">
        <f t="shared" si="10"/>
        <v>9337662.3376623318</v>
      </c>
      <c r="N26" s="13">
        <f t="shared" si="10"/>
        <v>8149350.6493506441</v>
      </c>
      <c r="O26" s="13">
        <f t="shared" si="10"/>
        <v>6961038.9610389555</v>
      </c>
      <c r="P26" s="13">
        <f t="shared" si="10"/>
        <v>5772727.2727272678</v>
      </c>
      <c r="Q26" s="13">
        <f t="shared" si="10"/>
        <v>5727272.7272727219</v>
      </c>
      <c r="R26" s="13">
        <f t="shared" si="10"/>
        <v>5681818.1818181761</v>
      </c>
      <c r="S26" s="13">
        <f t="shared" si="10"/>
        <v>5636363.6363636311</v>
      </c>
      <c r="T26" s="13">
        <f t="shared" si="10"/>
        <v>5590909.0909090862</v>
      </c>
      <c r="U26" s="13">
        <f t="shared" si="10"/>
        <v>5545454.5454545403</v>
      </c>
      <c r="V26" s="13">
        <f t="shared" si="10"/>
        <v>6454545.4545454495</v>
      </c>
      <c r="W26" s="13">
        <f t="shared" si="10"/>
        <v>6363636.3636363586</v>
      </c>
      <c r="X26" s="13">
        <f t="shared" si="10"/>
        <v>6272727.2727272678</v>
      </c>
      <c r="Y26" s="13">
        <f t="shared" si="10"/>
        <v>6181818.181818177</v>
      </c>
      <c r="Z26" s="13">
        <f t="shared" si="10"/>
        <v>6090909.0909090862</v>
      </c>
      <c r="AA26" s="13">
        <f t="shared" si="10"/>
        <v>5999999.9999999953</v>
      </c>
      <c r="AB26" s="13">
        <f t="shared" si="10"/>
        <v>5909090.9090909045</v>
      </c>
      <c r="AC26" s="13">
        <f t="shared" si="10"/>
        <v>5818181.8181818137</v>
      </c>
      <c r="AD26" s="13">
        <f t="shared" si="10"/>
        <v>5727272.7272727229</v>
      </c>
      <c r="AE26" s="13">
        <f t="shared" si="10"/>
        <v>5636363.6363636311</v>
      </c>
      <c r="AF26" s="13">
        <f t="shared" si="10"/>
        <v>6499999.9999999953</v>
      </c>
    </row>
    <row r="27" spans="1:32" x14ac:dyDescent="0.45">
      <c r="A27" t="s">
        <v>97</v>
      </c>
      <c r="B27" s="16">
        <f t="shared" ref="B27:AF27" si="11">-B15+B22+B26</f>
        <v>-1000000</v>
      </c>
      <c r="C27" s="16">
        <f t="shared" si="11"/>
        <v>-532361.60000000149</v>
      </c>
      <c r="D27" s="16">
        <f t="shared" si="11"/>
        <v>-65257.300000000745</v>
      </c>
      <c r="E27" s="16">
        <f t="shared" si="11"/>
        <v>402188.59999999404</v>
      </c>
      <c r="F27" s="16">
        <f t="shared" si="11"/>
        <v>870872.43599999696</v>
      </c>
      <c r="G27" s="16">
        <f t="shared" si="11"/>
        <v>1341724.4976399969</v>
      </c>
      <c r="H27" s="16">
        <f t="shared" si="11"/>
        <v>1815700.6456635967</v>
      </c>
      <c r="I27" s="16">
        <f t="shared" si="11"/>
        <v>2293788.629206961</v>
      </c>
      <c r="J27" s="16">
        <f t="shared" si="11"/>
        <v>2777006.7029148918</v>
      </c>
      <c r="K27" s="16">
        <f t="shared" si="11"/>
        <v>3266407.8438857412</v>
      </c>
      <c r="L27" s="16">
        <f t="shared" si="11"/>
        <v>3930479.6192328278</v>
      </c>
      <c r="M27" s="16">
        <f t="shared" si="11"/>
        <v>4403720.3177301772</v>
      </c>
      <c r="N27" s="16">
        <f t="shared" si="11"/>
        <v>4886510.1164243715</v>
      </c>
      <c r="O27" s="16">
        <f t="shared" si="11"/>
        <v>5380049.4483134402</v>
      </c>
      <c r="P27" s="16">
        <f t="shared" si="11"/>
        <v>5885574.9510654379</v>
      </c>
      <c r="Q27" s="16">
        <f t="shared" si="11"/>
        <v>7204371.3829717329</v>
      </c>
      <c r="R27" s="16">
        <f t="shared" si="11"/>
        <v>8537762.5387407839</v>
      </c>
      <c r="S27" s="16">
        <f t="shared" si="11"/>
        <v>9887121.765133962</v>
      </c>
      <c r="T27" s="16">
        <f t="shared" si="11"/>
        <v>11253869.176445026</v>
      </c>
      <c r="U27" s="16">
        <f t="shared" si="11"/>
        <v>12639476.569824798</v>
      </c>
      <c r="V27" s="16">
        <f t="shared" si="11"/>
        <v>14313645.758634409</v>
      </c>
      <c r="W27" s="16">
        <f t="shared" si="11"/>
        <v>15692797.232919559</v>
      </c>
      <c r="X27" s="16">
        <f t="shared" si="11"/>
        <v>17057520.828825496</v>
      </c>
      <c r="Y27" s="16">
        <f t="shared" si="11"/>
        <v>18407960.82513601</v>
      </c>
      <c r="Z27" s="16">
        <f t="shared" si="11"/>
        <v>19744260.057847053</v>
      </c>
      <c r="AA27" s="16">
        <f t="shared" si="11"/>
        <v>21066559.934594624</v>
      </c>
      <c r="AB27" s="16">
        <f t="shared" si="11"/>
        <v>22375000.448938355</v>
      </c>
      <c r="AC27" s="16">
        <f t="shared" si="11"/>
        <v>23669720.194502283</v>
      </c>
      <c r="AD27" s="16">
        <f t="shared" si="11"/>
        <v>24950856.37897421</v>
      </c>
      <c r="AE27" s="16">
        <f t="shared" si="11"/>
        <v>26218544.837965056</v>
      </c>
      <c r="AF27" s="16">
        <f t="shared" si="11"/>
        <v>27741101.866911445</v>
      </c>
    </row>
    <row r="28" spans="1:32" x14ac:dyDescent="0.45">
      <c r="A28" t="s">
        <v>93</v>
      </c>
      <c r="B28" s="30"/>
      <c r="C28" s="30">
        <f>IRR計算!$A$13</f>
        <v>0.16512074115342812</v>
      </c>
      <c r="D28" s="30">
        <f>IRR計算!$A$14</f>
        <v>0.19823370986390909</v>
      </c>
      <c r="E28" s="30">
        <f>IRR計算!$A$15</f>
        <v>0.21406906533998282</v>
      </c>
      <c r="F28" s="30">
        <f>IRR計算!$A$16</f>
        <v>0.22354709275435214</v>
      </c>
      <c r="G28" s="30">
        <f>IRR計算!$A$17</f>
        <v>0.22937298208216284</v>
      </c>
      <c r="H28" s="30">
        <f>IRR計算!$A$18</f>
        <v>0.23294529979461664</v>
      </c>
      <c r="I28" s="30">
        <f>IRR計算!$A$19</f>
        <v>0.23506119839950967</v>
      </c>
      <c r="J28" s="30">
        <f>IRR計算!$A$19</f>
        <v>0.23506119839950967</v>
      </c>
      <c r="K28" s="30">
        <f>IRR計算!$A$21</f>
        <v>0.23276591796256363</v>
      </c>
      <c r="L28" s="30">
        <f>IRR計算!$A$21</f>
        <v>0.23276591796256363</v>
      </c>
      <c r="M28" s="30">
        <f>IRR計算!$A$22</f>
        <v>0.23243347661685898</v>
      </c>
      <c r="N28" s="30">
        <f>IRR計算!$A$23</f>
        <v>0.23189023252404906</v>
      </c>
      <c r="O28" s="30">
        <f>IRR計算!$A$24</f>
        <v>0.2312092168608646</v>
      </c>
      <c r="P28" s="30">
        <f>IRR計算!$A$25</f>
        <v>0.23044288385562162</v>
      </c>
      <c r="Q28" s="30">
        <f>IRR計算!$A$26</f>
        <v>0.2296929994010255</v>
      </c>
      <c r="R28" s="30">
        <f>IRR計算!$A$27</f>
        <v>0.22872389211256694</v>
      </c>
      <c r="S28" s="30">
        <f>IRR計算!$A$28</f>
        <v>0.22762710834635769</v>
      </c>
      <c r="T28" s="30">
        <f>IRR計算!$A$29</f>
        <v>0.22646621294992797</v>
      </c>
      <c r="U28" s="30">
        <f>IRR計算!$A$30</f>
        <v>0.22528542246380878</v>
      </c>
      <c r="V28" s="30">
        <f>IRR計算!$A$31</f>
        <v>0.22371252170203459</v>
      </c>
      <c r="W28" s="30">
        <f>IRR計算!$A$32</f>
        <v>0.22270555158817396</v>
      </c>
      <c r="X28" s="30">
        <f>IRR計算!$A$33</f>
        <v>0.22188329141425367</v>
      </c>
      <c r="Y28" s="30">
        <f>IRR計算!$A$34</f>
        <v>0.22121190052501372</v>
      </c>
      <c r="Z28" s="30">
        <f>IRR計算!$A$35</f>
        <v>0.22066382970128218</v>
      </c>
      <c r="AA28" s="30">
        <f>IRR計算!$A$36</f>
        <v>0.22021659123167869</v>
      </c>
      <c r="AB28" s="30">
        <f>IRR計算!$A$37</f>
        <v>0.21985179664197441</v>
      </c>
      <c r="AC28" s="30">
        <f>IRR計算!$A$38</f>
        <v>0.21955439400034749</v>
      </c>
      <c r="AD28" s="30">
        <f>IRR計算!$A$39</f>
        <v>0.21931205681402943</v>
      </c>
      <c r="AE28" s="30">
        <f>IRR計算!$A$40</f>
        <v>0.21911469012499896</v>
      </c>
      <c r="AF28" s="30">
        <f>IRR計算!$A$41</f>
        <v>0.21889298950949154</v>
      </c>
    </row>
    <row r="29" spans="1:32" x14ac:dyDescent="0.45">
      <c r="A29" s="16" t="str">
        <f>IRR計算!E9</f>
        <v>売却時累計CF</v>
      </c>
      <c r="B29" s="16">
        <f>IRR計算!F9</f>
        <v>0</v>
      </c>
      <c r="C29" s="16">
        <f>IRR計算!G9</f>
        <v>400495.54285714123</v>
      </c>
      <c r="D29" s="16">
        <f>IRR計算!H9</f>
        <v>1802556.9857142847</v>
      </c>
      <c r="E29" s="16">
        <f>IRR計算!I9</f>
        <v>2897655.0706057111</v>
      </c>
      <c r="F29" s="16">
        <f>IRR計算!J9</f>
        <v>3931795.6704710871</v>
      </c>
      <c r="G29" s="16">
        <f>IRR計算!K9</f>
        <v>4969380.2140520886</v>
      </c>
      <c r="H29" s="16">
        <f>IRR計算!L9</f>
        <v>6011351.8049115678</v>
      </c>
      <c r="I29" s="16">
        <f>IRR計算!M9</f>
        <v>7058685.5625767391</v>
      </c>
      <c r="J29" s="16">
        <f>IRR計算!N9</f>
        <v>8112387.2383795446</v>
      </c>
      <c r="K29" s="16">
        <f>IRR計算!O9</f>
        <v>9173497.4311386049</v>
      </c>
      <c r="L29" s="16">
        <f>IRR計算!P9</f>
        <v>9173497.4311386049</v>
      </c>
      <c r="M29" s="16">
        <f>IRR計算!Q9</f>
        <v>10906582.734923981</v>
      </c>
      <c r="N29" s="16">
        <f>IRR計算!R9</f>
        <v>11992248.532822862</v>
      </c>
      <c r="O29" s="16">
        <f>IRR計算!S9</f>
        <v>13089841.026002491</v>
      </c>
      <c r="P29" s="16">
        <f>IRR計算!T9</f>
        <v>14200585.080510067</v>
      </c>
      <c r="Q29" s="16">
        <f>IRR計算!U9</f>
        <v>15432725.229303733</v>
      </c>
      <c r="R29" s="16">
        <f>IRR計算!V9</f>
        <v>15432725.229303733</v>
      </c>
      <c r="S29" s="16">
        <f>IRR計算!W9</f>
        <v>17945578.220833048</v>
      </c>
      <c r="T29" s="16">
        <f>IRR計算!X9</f>
        <v>19229061.794859849</v>
      </c>
      <c r="U29" s="16">
        <f>IRR計算!Y9</f>
        <v>20532513.625691839</v>
      </c>
      <c r="V29" s="16">
        <f>IRR計算!Z9</f>
        <v>21546788.080306411</v>
      </c>
      <c r="W29" s="16">
        <f>IRR計算!AA9</f>
        <v>22873531.04046575</v>
      </c>
      <c r="X29" s="16">
        <f>IRR計算!AB9</f>
        <v>24186921.480114408</v>
      </c>
      <c r="Y29" s="16">
        <f>IRR計算!AC9</f>
        <v>25487092.924457487</v>
      </c>
      <c r="Z29" s="16">
        <f>IRR計算!AD9</f>
        <v>26774177.563448042</v>
      </c>
      <c r="AA29" s="16">
        <f>IRR計算!AE9</f>
        <v>28048306.265139602</v>
      </c>
      <c r="AB29" s="16">
        <f>IRR計算!AF9</f>
        <v>29309608.588905156</v>
      </c>
      <c r="AC29" s="16">
        <f>IRR計算!AG9</f>
        <v>30558212.798523962</v>
      </c>
      <c r="AD29" s="16">
        <f>IRR計算!AH9</f>
        <v>31794245.875137493</v>
      </c>
      <c r="AE29" s="16">
        <f>IRR計算!AI9</f>
        <v>33017833.530075796</v>
      </c>
      <c r="AF29" s="16">
        <f>IRR計算!AJ9</f>
        <v>33918445.672101073</v>
      </c>
    </row>
    <row r="30" spans="1:32" x14ac:dyDescent="0.45">
      <c r="A30" t="s">
        <v>32</v>
      </c>
      <c r="B30" s="23" t="s">
        <v>40</v>
      </c>
      <c r="C30">
        <v>1</v>
      </c>
      <c r="D30">
        <v>2</v>
      </c>
      <c r="E30">
        <v>3</v>
      </c>
      <c r="F30">
        <v>4</v>
      </c>
      <c r="G30">
        <v>5</v>
      </c>
      <c r="H30">
        <v>6</v>
      </c>
      <c r="I30">
        <v>7</v>
      </c>
      <c r="J30">
        <v>8</v>
      </c>
      <c r="K30">
        <v>9</v>
      </c>
      <c r="L30">
        <v>10</v>
      </c>
      <c r="M30">
        <v>11</v>
      </c>
      <c r="N30">
        <v>12</v>
      </c>
      <c r="O30">
        <v>13</v>
      </c>
      <c r="P30">
        <v>14</v>
      </c>
      <c r="Q30">
        <v>15</v>
      </c>
      <c r="R30">
        <v>16</v>
      </c>
      <c r="S30">
        <v>17</v>
      </c>
      <c r="T30">
        <v>18</v>
      </c>
      <c r="U30">
        <v>19</v>
      </c>
      <c r="V30">
        <v>20</v>
      </c>
      <c r="W30">
        <v>21</v>
      </c>
      <c r="X30">
        <v>22</v>
      </c>
      <c r="Y30">
        <v>23</v>
      </c>
      <c r="Z30">
        <v>24</v>
      </c>
      <c r="AA30">
        <v>25</v>
      </c>
      <c r="AB30">
        <v>26</v>
      </c>
      <c r="AC30">
        <v>27</v>
      </c>
      <c r="AD30">
        <v>28</v>
      </c>
      <c r="AE30">
        <v>29</v>
      </c>
      <c r="AF30">
        <v>30</v>
      </c>
    </row>
  </sheetData>
  <mergeCells count="2">
    <mergeCell ref="A12:B12"/>
    <mergeCell ref="A13:B13"/>
  </mergeCells>
  <phoneticPr fontId="2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439F6-40B7-4839-99CB-CCD62832035E}">
  <dimension ref="A1:AE377"/>
  <sheetViews>
    <sheetView tabSelected="1" topLeftCell="A13" workbookViewId="0">
      <selection activeCell="M25" sqref="M25"/>
    </sheetView>
  </sheetViews>
  <sheetFormatPr defaultRowHeight="18" x14ac:dyDescent="0.45"/>
  <cols>
    <col min="1" max="1" width="14.796875" customWidth="1"/>
    <col min="2" max="5" width="12" customWidth="1"/>
    <col min="6" max="6" width="12" style="16" customWidth="1"/>
    <col min="7" max="31" width="12" customWidth="1"/>
  </cols>
  <sheetData>
    <row r="1" spans="1:31" x14ac:dyDescent="0.45">
      <c r="A1" s="2" t="s">
        <v>13</v>
      </c>
      <c r="B1" s="5">
        <f>利回り!$F$2</f>
        <v>18000000</v>
      </c>
    </row>
    <row r="2" spans="1:31" x14ac:dyDescent="0.45">
      <c r="A2" s="3" t="s">
        <v>12</v>
      </c>
      <c r="B2" s="4">
        <f>利回り!$C$11-利回り!$F$2</f>
        <v>4000000</v>
      </c>
    </row>
    <row r="3" spans="1:31" x14ac:dyDescent="0.45">
      <c r="A3" s="3" t="s">
        <v>16</v>
      </c>
      <c r="B3" s="6">
        <f>利回り!F4</f>
        <v>20</v>
      </c>
    </row>
    <row r="4" spans="1:31" x14ac:dyDescent="0.45">
      <c r="A4" s="3" t="s">
        <v>17</v>
      </c>
      <c r="B4" s="8">
        <f>利回り!F5</f>
        <v>0.04</v>
      </c>
    </row>
    <row r="5" spans="1:31" x14ac:dyDescent="0.45">
      <c r="A5" s="3" t="s">
        <v>10</v>
      </c>
      <c r="B5" s="7">
        <f>PMT(利回り!$F$5/12,利回り!$F$4*12,利回り!$F$2,0)</f>
        <v>-109076.45927389535</v>
      </c>
    </row>
    <row r="6" spans="1:31" x14ac:dyDescent="0.45">
      <c r="A6" s="3" t="s">
        <v>18</v>
      </c>
      <c r="B6" s="7">
        <f>B5*12</f>
        <v>-1308917.5112867441</v>
      </c>
    </row>
    <row r="8" spans="1:31" x14ac:dyDescent="0.45">
      <c r="A8" t="s">
        <v>51</v>
      </c>
      <c r="B8">
        <v>1</v>
      </c>
      <c r="C8">
        <v>2</v>
      </c>
      <c r="D8">
        <v>3</v>
      </c>
      <c r="E8">
        <v>4</v>
      </c>
      <c r="F8">
        <v>5</v>
      </c>
      <c r="G8">
        <v>6</v>
      </c>
      <c r="H8">
        <v>7</v>
      </c>
      <c r="I8">
        <v>8</v>
      </c>
      <c r="J8">
        <v>9</v>
      </c>
      <c r="K8">
        <v>10</v>
      </c>
      <c r="L8">
        <v>11</v>
      </c>
      <c r="M8">
        <v>12</v>
      </c>
      <c r="N8">
        <v>13</v>
      </c>
      <c r="O8">
        <v>14</v>
      </c>
      <c r="P8">
        <v>15</v>
      </c>
      <c r="Q8">
        <v>16</v>
      </c>
      <c r="R8">
        <v>17</v>
      </c>
      <c r="S8">
        <v>18</v>
      </c>
      <c r="T8">
        <v>19</v>
      </c>
      <c r="U8">
        <v>20</v>
      </c>
      <c r="V8">
        <v>21</v>
      </c>
      <c r="W8">
        <v>22</v>
      </c>
      <c r="X8">
        <v>23</v>
      </c>
      <c r="Y8">
        <v>24</v>
      </c>
      <c r="Z8">
        <v>25</v>
      </c>
      <c r="AA8">
        <v>26</v>
      </c>
      <c r="AB8">
        <v>27</v>
      </c>
      <c r="AC8">
        <v>28</v>
      </c>
      <c r="AD8">
        <v>29</v>
      </c>
      <c r="AE8">
        <v>30</v>
      </c>
    </row>
    <row r="9" spans="1:31" s="16" customFormat="1" x14ac:dyDescent="0.45">
      <c r="A9" s="16" t="s">
        <v>49</v>
      </c>
      <c r="B9" s="16">
        <f>SUMIF($A$18:$A$377,B8,$E$18:$E$377)</f>
        <v>-599829.51128674427</v>
      </c>
      <c r="C9" s="16">
        <f t="shared" ref="C9:AE9" si="0">SUMIF($A$18:$A$377,C8,$E$18:$E$377)</f>
        <v>-624266.51128674427</v>
      </c>
      <c r="D9" s="16">
        <f t="shared" si="0"/>
        <v>-649702.51128674427</v>
      </c>
      <c r="E9" s="16">
        <f t="shared" si="0"/>
        <v>-676169.51128674427</v>
      </c>
      <c r="F9" s="16">
        <f t="shared" si="0"/>
        <v>-703718.51128674427</v>
      </c>
      <c r="G9" s="16">
        <f t="shared" si="0"/>
        <v>-732388.51128674427</v>
      </c>
      <c r="H9" s="16">
        <f t="shared" si="0"/>
        <v>-762227.51128674427</v>
      </c>
      <c r="I9" s="16">
        <f t="shared" si="0"/>
        <v>-793281.51128674427</v>
      </c>
      <c r="J9" s="16">
        <f t="shared" si="0"/>
        <v>-825602.51128674427</v>
      </c>
      <c r="K9" s="16">
        <f t="shared" si="0"/>
        <v>-859237.51128674427</v>
      </c>
      <c r="L9" s="16">
        <f t="shared" si="0"/>
        <v>-894244.51128674427</v>
      </c>
      <c r="M9" s="16">
        <f t="shared" si="0"/>
        <v>-930676.51128674427</v>
      </c>
      <c r="N9" s="16">
        <f t="shared" si="0"/>
        <v>-968595.51128674427</v>
      </c>
      <c r="O9" s="16">
        <f t="shared" si="0"/>
        <v>-1008055.5112867443</v>
      </c>
      <c r="P9" s="16">
        <f t="shared" si="0"/>
        <v>-1049127.5112867441</v>
      </c>
      <c r="Q9" s="16">
        <f t="shared" si="0"/>
        <v>-1091869.5112867441</v>
      </c>
      <c r="R9" s="16">
        <f t="shared" si="0"/>
        <v>-1136354.5112867441</v>
      </c>
      <c r="S9" s="16">
        <f t="shared" si="0"/>
        <v>-1182651.5112867441</v>
      </c>
      <c r="T9" s="16">
        <f t="shared" si="0"/>
        <v>-1230836.5112867441</v>
      </c>
      <c r="U9" s="16">
        <f t="shared" si="0"/>
        <v>-1280980.5112867439</v>
      </c>
      <c r="V9" s="16">
        <f t="shared" si="0"/>
        <v>0</v>
      </c>
      <c r="W9" s="16">
        <f t="shared" si="0"/>
        <v>0</v>
      </c>
      <c r="X9" s="16">
        <f t="shared" si="0"/>
        <v>0</v>
      </c>
      <c r="Y9" s="16">
        <f t="shared" si="0"/>
        <v>0</v>
      </c>
      <c r="Z9" s="16">
        <f t="shared" si="0"/>
        <v>0</v>
      </c>
      <c r="AA9" s="16">
        <f t="shared" si="0"/>
        <v>0</v>
      </c>
      <c r="AB9" s="16">
        <f t="shared" si="0"/>
        <v>0</v>
      </c>
      <c r="AC9" s="16">
        <f t="shared" si="0"/>
        <v>0</v>
      </c>
      <c r="AD9" s="16">
        <f t="shared" si="0"/>
        <v>0</v>
      </c>
      <c r="AE9" s="16">
        <f t="shared" si="0"/>
        <v>0</v>
      </c>
    </row>
    <row r="10" spans="1:31" s="16" customFormat="1" x14ac:dyDescent="0.45">
      <c r="A10" s="16" t="s">
        <v>56</v>
      </c>
      <c r="B10" s="16">
        <f>SUMIF($A$18:$A$377,B8,$F$18:$F$377)</f>
        <v>-709088</v>
      </c>
      <c r="C10" s="16">
        <f t="shared" ref="C10:AE10" si="1">SUMIF($A$18:$A$377,C8,$F$18:$F$377)</f>
        <v>-684651</v>
      </c>
      <c r="D10" s="16">
        <f t="shared" si="1"/>
        <v>-659215</v>
      </c>
      <c r="E10" s="16">
        <f t="shared" si="1"/>
        <v>-632748</v>
      </c>
      <c r="F10" s="16">
        <f t="shared" si="1"/>
        <v>-605199</v>
      </c>
      <c r="G10" s="16">
        <f t="shared" si="1"/>
        <v>-576529</v>
      </c>
      <c r="H10" s="16">
        <f t="shared" si="1"/>
        <v>-546690</v>
      </c>
      <c r="I10" s="16">
        <f t="shared" si="1"/>
        <v>-515636</v>
      </c>
      <c r="J10" s="16">
        <f t="shared" si="1"/>
        <v>-483315</v>
      </c>
      <c r="K10" s="16">
        <f t="shared" si="1"/>
        <v>-449680</v>
      </c>
      <c r="L10" s="16">
        <f t="shared" si="1"/>
        <v>-414673</v>
      </c>
      <c r="M10" s="16">
        <f t="shared" si="1"/>
        <v>-378241</v>
      </c>
      <c r="N10" s="16">
        <f t="shared" si="1"/>
        <v>-340322</v>
      </c>
      <c r="O10" s="16">
        <f t="shared" si="1"/>
        <v>-300862</v>
      </c>
      <c r="P10" s="16">
        <f t="shared" si="1"/>
        <v>-259790</v>
      </c>
      <c r="Q10" s="16">
        <f t="shared" si="1"/>
        <v>-217048</v>
      </c>
      <c r="R10" s="16">
        <f t="shared" si="1"/>
        <v>-172563</v>
      </c>
      <c r="S10" s="16">
        <f t="shared" si="1"/>
        <v>-126266</v>
      </c>
      <c r="T10" s="16">
        <f t="shared" si="1"/>
        <v>-78081</v>
      </c>
      <c r="U10" s="16">
        <f t="shared" si="1"/>
        <v>-27937</v>
      </c>
      <c r="V10" s="16">
        <f t="shared" si="1"/>
        <v>0</v>
      </c>
      <c r="W10" s="16">
        <f t="shared" si="1"/>
        <v>0</v>
      </c>
      <c r="X10" s="16">
        <f t="shared" si="1"/>
        <v>0</v>
      </c>
      <c r="Y10" s="16">
        <f t="shared" si="1"/>
        <v>0</v>
      </c>
      <c r="Z10" s="16">
        <f t="shared" si="1"/>
        <v>0</v>
      </c>
      <c r="AA10" s="16">
        <f t="shared" si="1"/>
        <v>0</v>
      </c>
      <c r="AB10" s="16">
        <f t="shared" si="1"/>
        <v>0</v>
      </c>
      <c r="AC10" s="16">
        <f t="shared" si="1"/>
        <v>0</v>
      </c>
      <c r="AD10" s="16">
        <f t="shared" si="1"/>
        <v>0</v>
      </c>
      <c r="AE10" s="16">
        <f t="shared" si="1"/>
        <v>0</v>
      </c>
    </row>
    <row r="11" spans="1:31" s="16" customFormat="1" x14ac:dyDescent="0.45">
      <c r="A11" s="16" t="s">
        <v>50</v>
      </c>
      <c r="B11" s="16">
        <f>B9+B10</f>
        <v>-1308917.5112867444</v>
      </c>
      <c r="C11" s="16">
        <f>C9+C10</f>
        <v>-1308917.5112867444</v>
      </c>
      <c r="D11" s="16">
        <f t="shared" ref="D11:AE11" si="2">D9+D10</f>
        <v>-1308917.5112867444</v>
      </c>
      <c r="E11" s="16">
        <f t="shared" si="2"/>
        <v>-1308917.5112867444</v>
      </c>
      <c r="F11" s="16">
        <f t="shared" si="2"/>
        <v>-1308917.5112867444</v>
      </c>
      <c r="G11" s="16">
        <f t="shared" si="2"/>
        <v>-1308917.5112867444</v>
      </c>
      <c r="H11" s="16">
        <f t="shared" si="2"/>
        <v>-1308917.5112867444</v>
      </c>
      <c r="I11" s="16">
        <f t="shared" si="2"/>
        <v>-1308917.5112867444</v>
      </c>
      <c r="J11" s="16">
        <f t="shared" si="2"/>
        <v>-1308917.5112867444</v>
      </c>
      <c r="K11" s="16">
        <f t="shared" si="2"/>
        <v>-1308917.5112867444</v>
      </c>
      <c r="L11" s="16">
        <f t="shared" si="2"/>
        <v>-1308917.5112867444</v>
      </c>
      <c r="M11" s="16">
        <f t="shared" si="2"/>
        <v>-1308917.5112867444</v>
      </c>
      <c r="N11" s="16">
        <f t="shared" si="2"/>
        <v>-1308917.5112867444</v>
      </c>
      <c r="O11" s="16">
        <f t="shared" si="2"/>
        <v>-1308917.5112867444</v>
      </c>
      <c r="P11" s="16">
        <f t="shared" si="2"/>
        <v>-1308917.5112867441</v>
      </c>
      <c r="Q11" s="16">
        <f t="shared" si="2"/>
        <v>-1308917.5112867441</v>
      </c>
      <c r="R11" s="16">
        <f t="shared" si="2"/>
        <v>-1308917.5112867441</v>
      </c>
      <c r="S11" s="16">
        <f t="shared" si="2"/>
        <v>-1308917.5112867441</v>
      </c>
      <c r="T11" s="16">
        <f t="shared" si="2"/>
        <v>-1308917.5112867441</v>
      </c>
      <c r="U11" s="16">
        <f t="shared" si="2"/>
        <v>-1308917.5112867439</v>
      </c>
      <c r="V11" s="16">
        <f t="shared" si="2"/>
        <v>0</v>
      </c>
      <c r="W11" s="16">
        <f t="shared" si="2"/>
        <v>0</v>
      </c>
      <c r="X11" s="16">
        <f t="shared" si="2"/>
        <v>0</v>
      </c>
      <c r="Y11" s="16">
        <f t="shared" si="2"/>
        <v>0</v>
      </c>
      <c r="Z11" s="16">
        <f t="shared" si="2"/>
        <v>0</v>
      </c>
      <c r="AA11" s="16">
        <f t="shared" si="2"/>
        <v>0</v>
      </c>
      <c r="AB11" s="16">
        <f t="shared" si="2"/>
        <v>0</v>
      </c>
      <c r="AC11" s="16">
        <f t="shared" si="2"/>
        <v>0</v>
      </c>
      <c r="AD11" s="16">
        <f t="shared" si="2"/>
        <v>0</v>
      </c>
      <c r="AE11" s="16">
        <f t="shared" si="2"/>
        <v>0</v>
      </c>
    </row>
    <row r="12" spans="1:31" s="16" customFormat="1" x14ac:dyDescent="0.45">
      <c r="A12" s="16" t="s">
        <v>52</v>
      </c>
      <c r="B12" s="16">
        <f>B1+B9</f>
        <v>17400170.488713257</v>
      </c>
      <c r="C12" s="16">
        <f>B12+C9</f>
        <v>16775903.977426512</v>
      </c>
      <c r="D12" s="16">
        <f>C12+D9</f>
        <v>16126201.466139767</v>
      </c>
      <c r="E12" s="16">
        <f t="shared" ref="E12:AE12" si="3">D12+E9</f>
        <v>15450031.954853022</v>
      </c>
      <c r="F12" s="16">
        <f t="shared" si="3"/>
        <v>14746313.443566278</v>
      </c>
      <c r="G12" s="16">
        <f t="shared" si="3"/>
        <v>14013924.932279533</v>
      </c>
      <c r="H12" s="16">
        <f t="shared" si="3"/>
        <v>13251697.420992788</v>
      </c>
      <c r="I12" s="16">
        <f t="shared" si="3"/>
        <v>12458415.909706043</v>
      </c>
      <c r="J12" s="16">
        <f t="shared" si="3"/>
        <v>11632813.398419298</v>
      </c>
      <c r="K12" s="16">
        <f t="shared" si="3"/>
        <v>10773575.887132553</v>
      </c>
      <c r="L12" s="16">
        <f t="shared" si="3"/>
        <v>9879331.3758458085</v>
      </c>
      <c r="M12" s="16">
        <f t="shared" si="3"/>
        <v>8948654.8645590637</v>
      </c>
      <c r="N12" s="16">
        <f t="shared" si="3"/>
        <v>7980059.3532723198</v>
      </c>
      <c r="O12" s="16">
        <f t="shared" si="3"/>
        <v>6972003.8419855759</v>
      </c>
      <c r="P12" s="16">
        <f t="shared" si="3"/>
        <v>5922876.3306988319</v>
      </c>
      <c r="Q12" s="16">
        <f t="shared" si="3"/>
        <v>4831006.819412088</v>
      </c>
      <c r="R12" s="16">
        <f t="shared" si="3"/>
        <v>3694652.3081253441</v>
      </c>
      <c r="S12" s="16">
        <f t="shared" si="3"/>
        <v>2512000.7968386002</v>
      </c>
      <c r="T12" s="16">
        <f t="shared" si="3"/>
        <v>1281164.285551856</v>
      </c>
      <c r="U12" s="16">
        <f t="shared" si="3"/>
        <v>183.77426511212252</v>
      </c>
      <c r="V12" s="16">
        <f t="shared" si="3"/>
        <v>183.77426511212252</v>
      </c>
      <c r="W12" s="16">
        <f t="shared" si="3"/>
        <v>183.77426511212252</v>
      </c>
      <c r="X12" s="16">
        <f t="shared" si="3"/>
        <v>183.77426511212252</v>
      </c>
      <c r="Y12" s="16">
        <f t="shared" si="3"/>
        <v>183.77426511212252</v>
      </c>
      <c r="Z12" s="16">
        <f t="shared" si="3"/>
        <v>183.77426511212252</v>
      </c>
      <c r="AA12" s="16">
        <f t="shared" si="3"/>
        <v>183.77426511212252</v>
      </c>
      <c r="AB12" s="16">
        <f t="shared" si="3"/>
        <v>183.77426511212252</v>
      </c>
      <c r="AC12" s="16">
        <f t="shared" si="3"/>
        <v>183.77426511212252</v>
      </c>
      <c r="AD12" s="16">
        <f t="shared" si="3"/>
        <v>183.77426511212252</v>
      </c>
      <c r="AE12" s="16">
        <f t="shared" si="3"/>
        <v>183.77426511212252</v>
      </c>
    </row>
    <row r="13" spans="1:31" s="16" customFormat="1" x14ac:dyDescent="0.45">
      <c r="A13" s="16" t="s">
        <v>34</v>
      </c>
      <c r="B13" s="16">
        <f>年推移!C10</f>
        <v>-1142857.142857143</v>
      </c>
      <c r="C13" s="16">
        <f>年推移!D10</f>
        <v>-1142857.142857143</v>
      </c>
      <c r="D13" s="16">
        <f>年推移!E10</f>
        <v>-1142857.142857143</v>
      </c>
      <c r="E13" s="16">
        <f>年推移!F10</f>
        <v>-1142857.142857143</v>
      </c>
      <c r="F13" s="16">
        <f>年推移!G10</f>
        <v>-1142857.142857143</v>
      </c>
      <c r="G13" s="16">
        <f>年推移!H10</f>
        <v>-1142857.142857143</v>
      </c>
      <c r="H13" s="16">
        <f>年推移!I10</f>
        <v>-1142857.142857143</v>
      </c>
      <c r="I13" s="16">
        <f>年推移!J10</f>
        <v>-1142857.142857143</v>
      </c>
      <c r="J13" s="16">
        <f>年推移!K10</f>
        <v>-1142857.142857143</v>
      </c>
      <c r="K13" s="16">
        <f>年推移!L10</f>
        <v>-1188311.6883116884</v>
      </c>
      <c r="L13" s="16">
        <f>年推移!M10</f>
        <v>-1188311.6883116884</v>
      </c>
      <c r="M13" s="16">
        <f>年推移!N10</f>
        <v>-1188311.6883116884</v>
      </c>
      <c r="N13" s="16">
        <f>年推移!O10</f>
        <v>-1188311.6883116884</v>
      </c>
      <c r="O13" s="16">
        <f>年推移!P10</f>
        <v>-1188311.6883116884</v>
      </c>
      <c r="P13" s="16">
        <f>年推移!Q10</f>
        <v>-45454.545454545456</v>
      </c>
      <c r="Q13" s="16">
        <f>年推移!R10</f>
        <v>-45454.545454545456</v>
      </c>
      <c r="R13" s="16">
        <f>年推移!S10</f>
        <v>-45454.545454545456</v>
      </c>
      <c r="S13" s="16">
        <f>年推移!T10</f>
        <v>-45454.545454545456</v>
      </c>
      <c r="T13" s="16">
        <f>年推移!U10</f>
        <v>-45454.545454545456</v>
      </c>
      <c r="U13" s="16">
        <f>年推移!V10</f>
        <v>-90909.090909090912</v>
      </c>
      <c r="V13" s="16">
        <f>年推移!W10</f>
        <v>-90909.090909090912</v>
      </c>
      <c r="W13" s="16">
        <f>年推移!X10</f>
        <v>-90909.090909090912</v>
      </c>
      <c r="X13" s="16">
        <f>年推移!Y10</f>
        <v>-90909.090909090912</v>
      </c>
      <c r="Y13" s="16">
        <f>年推移!Z10</f>
        <v>-90909.090909090912</v>
      </c>
      <c r="Z13" s="16">
        <f>年推移!AA10</f>
        <v>-90909.090909090912</v>
      </c>
      <c r="AA13" s="16">
        <f>年推移!AB10</f>
        <v>-90909.090909090912</v>
      </c>
      <c r="AB13" s="16">
        <f>年推移!AC10</f>
        <v>-90909.090909090912</v>
      </c>
      <c r="AC13" s="16">
        <f>年推移!AD10</f>
        <v>-90909.090909090912</v>
      </c>
      <c r="AD13" s="16">
        <f>年推移!AE10</f>
        <v>-90909.090909090912</v>
      </c>
      <c r="AE13" s="16">
        <f>年推移!AF10</f>
        <v>-136363.63636363635</v>
      </c>
    </row>
    <row r="14" spans="1:31" s="16" customFormat="1" x14ac:dyDescent="0.45">
      <c r="A14" s="16" t="s">
        <v>107</v>
      </c>
      <c r="B14" s="16">
        <f>B10+B13</f>
        <v>-1851945.142857143</v>
      </c>
      <c r="C14" s="16">
        <f>C10+C13</f>
        <v>-1827508.142857143</v>
      </c>
      <c r="D14" s="16">
        <f t="shared" ref="D14:AE14" si="4">D10+D13</f>
        <v>-1802072.142857143</v>
      </c>
      <c r="E14" s="16">
        <f t="shared" si="4"/>
        <v>-1775605.142857143</v>
      </c>
      <c r="F14" s="16">
        <f t="shared" si="4"/>
        <v>-1748056.142857143</v>
      </c>
      <c r="G14" s="16">
        <f t="shared" si="4"/>
        <v>-1719386.142857143</v>
      </c>
      <c r="H14" s="16">
        <f t="shared" si="4"/>
        <v>-1689547.142857143</v>
      </c>
      <c r="I14" s="16">
        <f t="shared" si="4"/>
        <v>-1658493.142857143</v>
      </c>
      <c r="J14" s="16">
        <f t="shared" si="4"/>
        <v>-1626172.142857143</v>
      </c>
      <c r="K14" s="16">
        <f t="shared" si="4"/>
        <v>-1637991.6883116884</v>
      </c>
      <c r="L14" s="16">
        <f t="shared" si="4"/>
        <v>-1602984.6883116884</v>
      </c>
      <c r="M14" s="16">
        <f t="shared" si="4"/>
        <v>-1566552.6883116884</v>
      </c>
      <c r="N14" s="16">
        <f t="shared" si="4"/>
        <v>-1528633.6883116884</v>
      </c>
      <c r="O14" s="16">
        <f t="shared" si="4"/>
        <v>-1489173.6883116884</v>
      </c>
      <c r="P14" s="16">
        <f t="shared" si="4"/>
        <v>-305244.54545454547</v>
      </c>
      <c r="Q14" s="16">
        <f t="shared" si="4"/>
        <v>-262502.54545454547</v>
      </c>
      <c r="R14" s="16">
        <f t="shared" si="4"/>
        <v>-218017.54545454547</v>
      </c>
      <c r="S14" s="16">
        <f t="shared" si="4"/>
        <v>-171720.54545454547</v>
      </c>
      <c r="T14" s="16">
        <f t="shared" si="4"/>
        <v>-123535.54545454546</v>
      </c>
      <c r="U14" s="16">
        <f t="shared" si="4"/>
        <v>-118846.09090909091</v>
      </c>
      <c r="V14" s="16">
        <f t="shared" si="4"/>
        <v>-90909.090909090912</v>
      </c>
      <c r="W14" s="16">
        <f t="shared" si="4"/>
        <v>-90909.090909090912</v>
      </c>
      <c r="X14" s="16">
        <f t="shared" si="4"/>
        <v>-90909.090909090912</v>
      </c>
      <c r="Y14" s="16">
        <f t="shared" si="4"/>
        <v>-90909.090909090912</v>
      </c>
      <c r="Z14" s="16">
        <f t="shared" si="4"/>
        <v>-90909.090909090912</v>
      </c>
      <c r="AA14" s="16">
        <f t="shared" si="4"/>
        <v>-90909.090909090912</v>
      </c>
      <c r="AB14" s="16">
        <f t="shared" si="4"/>
        <v>-90909.090909090912</v>
      </c>
      <c r="AC14" s="16">
        <f t="shared" si="4"/>
        <v>-90909.090909090912</v>
      </c>
      <c r="AD14" s="16">
        <f t="shared" si="4"/>
        <v>-90909.090909090912</v>
      </c>
      <c r="AE14" s="16">
        <f t="shared" si="4"/>
        <v>-136363.63636363635</v>
      </c>
    </row>
    <row r="15" spans="1:31" s="16" customFormat="1" x14ac:dyDescent="0.45"/>
    <row r="17" spans="1:7" x14ac:dyDescent="0.45">
      <c r="A17" t="s">
        <v>47</v>
      </c>
      <c r="B17" t="s">
        <v>41</v>
      </c>
      <c r="C17" t="s">
        <v>42</v>
      </c>
      <c r="D17" t="s">
        <v>43</v>
      </c>
      <c r="E17" t="s">
        <v>44</v>
      </c>
      <c r="F17" s="16" t="s">
        <v>45</v>
      </c>
      <c r="G17" t="s">
        <v>46</v>
      </c>
    </row>
    <row r="18" spans="1:7" x14ac:dyDescent="0.45">
      <c r="A18">
        <f>INT((B18-1)/12)+1</f>
        <v>1</v>
      </c>
      <c r="B18">
        <v>1</v>
      </c>
      <c r="C18" s="16">
        <f>D18</f>
        <v>-109076.45927389535</v>
      </c>
      <c r="D18" s="16">
        <f>IF(A18&lt;=$B$3,PMT(利回り!$F$5/12,利回り!$F$4*12,利回り!$F$2,0),0)</f>
        <v>-109076.45927389535</v>
      </c>
      <c r="E18" s="16">
        <f>D18-F18</f>
        <v>-49076.459273895351</v>
      </c>
      <c r="F18" s="16">
        <f>-ROUNDUP(IF(A18&lt;=$B$3,($B$4/12)*$B$1,0),0)</f>
        <v>-60000</v>
      </c>
      <c r="G18" s="13">
        <f>IF(B1+E18&gt;0,B1+E18,0)</f>
        <v>17950923.540726103</v>
      </c>
    </row>
    <row r="19" spans="1:7" x14ac:dyDescent="0.45">
      <c r="A19">
        <f t="shared" ref="A19:A82" si="5">INT((B19-1)/12)+1</f>
        <v>1</v>
      </c>
      <c r="B19">
        <v>2</v>
      </c>
      <c r="C19" s="16">
        <f>C18+D18</f>
        <v>-218152.9185477907</v>
      </c>
      <c r="D19" s="16">
        <f>IF(A19&lt;=$B$3,PMT(利回り!$F$5/12,利回り!$F$4*12,利回り!$F$2,0),0)</f>
        <v>-109076.45927389535</v>
      </c>
      <c r="E19" s="16">
        <f>D19-F19</f>
        <v>-49239.459273895351</v>
      </c>
      <c r="F19" s="16">
        <f>-ROUNDUP(IF(A19&lt;=$B$3,($B$4/12)*G18,0),0)</f>
        <v>-59837</v>
      </c>
      <c r="G19" s="13">
        <f>IF(G18+E19&gt;0,G18+E19,0)</f>
        <v>17901684.081452206</v>
      </c>
    </row>
    <row r="20" spans="1:7" x14ac:dyDescent="0.45">
      <c r="A20">
        <f t="shared" si="5"/>
        <v>1</v>
      </c>
      <c r="B20">
        <v>3</v>
      </c>
      <c r="C20" s="16">
        <f>C19+D19</f>
        <v>-327229.37782168604</v>
      </c>
      <c r="D20" s="16">
        <f>IF(A20&lt;=$B$3,PMT(利回り!$F$5/12,利回り!$F$4*12,利回り!$F$2,0),0)</f>
        <v>-109076.45927389535</v>
      </c>
      <c r="E20" s="16">
        <f>D20-F20</f>
        <v>-49403.459273895351</v>
      </c>
      <c r="F20" s="16">
        <f>-ROUNDUP(IF(A20&lt;=$B$3,($B$4/12)*G19,0),0)</f>
        <v>-59673</v>
      </c>
      <c r="G20" s="13">
        <f>IF(G19+E20&gt;0,G19+E20,0)</f>
        <v>17852280.622178309</v>
      </c>
    </row>
    <row r="21" spans="1:7" x14ac:dyDescent="0.45">
      <c r="A21">
        <f t="shared" si="5"/>
        <v>1</v>
      </c>
      <c r="B21">
        <v>4</v>
      </c>
      <c r="C21" s="16">
        <f t="shared" ref="C21:C84" si="6">C20+D20</f>
        <v>-436305.8370955814</v>
      </c>
      <c r="D21" s="16">
        <f>IF(A21&lt;=$B$3,PMT(利回り!$F$5/12,利回り!$F$4*12,利回り!$F$2,0),0)</f>
        <v>-109076.45927389535</v>
      </c>
      <c r="E21" s="16">
        <f t="shared" ref="E21:E84" si="7">D21-F21</f>
        <v>-49568.459273895351</v>
      </c>
      <c r="F21" s="16">
        <f t="shared" ref="F21:F84" si="8">-ROUNDUP(IF(A21&lt;=$B$3,($B$4/12)*G20,0),0)</f>
        <v>-59508</v>
      </c>
      <c r="G21" s="13">
        <f t="shared" ref="G21:G84" si="9">IF(G20+E21&gt;0,G20+E21,0)</f>
        <v>17802712.162904412</v>
      </c>
    </row>
    <row r="22" spans="1:7" x14ac:dyDescent="0.45">
      <c r="A22">
        <f t="shared" si="5"/>
        <v>1</v>
      </c>
      <c r="B22">
        <v>5</v>
      </c>
      <c r="C22" s="16">
        <f t="shared" si="6"/>
        <v>-545382.29636947671</v>
      </c>
      <c r="D22" s="16">
        <f>IF(A22&lt;=$B$3,PMT(利回り!$F$5/12,利回り!$F$4*12,利回り!$F$2,0),0)</f>
        <v>-109076.45927389535</v>
      </c>
      <c r="E22" s="16">
        <f t="shared" si="7"/>
        <v>-49733.459273895351</v>
      </c>
      <c r="F22" s="16">
        <f t="shared" si="8"/>
        <v>-59343</v>
      </c>
      <c r="G22" s="13">
        <f t="shared" si="9"/>
        <v>17752978.703630514</v>
      </c>
    </row>
    <row r="23" spans="1:7" x14ac:dyDescent="0.45">
      <c r="A23">
        <f t="shared" si="5"/>
        <v>1</v>
      </c>
      <c r="B23">
        <v>6</v>
      </c>
      <c r="C23" s="16">
        <f t="shared" si="6"/>
        <v>-654458.75564337207</v>
      </c>
      <c r="D23" s="16">
        <f>IF(A23&lt;=$B$3,PMT(利回り!$F$5/12,利回り!$F$4*12,利回り!$F$2,0),0)</f>
        <v>-109076.45927389535</v>
      </c>
      <c r="E23" s="16">
        <f t="shared" si="7"/>
        <v>-49899.459273895351</v>
      </c>
      <c r="F23" s="16">
        <f t="shared" si="8"/>
        <v>-59177</v>
      </c>
      <c r="G23" s="13">
        <f t="shared" si="9"/>
        <v>17703079.244356617</v>
      </c>
    </row>
    <row r="24" spans="1:7" x14ac:dyDescent="0.45">
      <c r="A24">
        <f t="shared" si="5"/>
        <v>1</v>
      </c>
      <c r="B24">
        <v>7</v>
      </c>
      <c r="C24" s="16">
        <f t="shared" si="6"/>
        <v>-763535.21491726744</v>
      </c>
      <c r="D24" s="16">
        <f>IF(A24&lt;=$B$3,PMT(利回り!$F$5/12,利回り!$F$4*12,利回り!$F$2,0),0)</f>
        <v>-109076.45927389535</v>
      </c>
      <c r="E24" s="16">
        <f t="shared" si="7"/>
        <v>-50065.459273895351</v>
      </c>
      <c r="F24" s="16">
        <f t="shared" si="8"/>
        <v>-59011</v>
      </c>
      <c r="G24" s="13">
        <f t="shared" si="9"/>
        <v>17653013.78508272</v>
      </c>
    </row>
    <row r="25" spans="1:7" x14ac:dyDescent="0.45">
      <c r="A25">
        <f t="shared" si="5"/>
        <v>1</v>
      </c>
      <c r="B25">
        <v>8</v>
      </c>
      <c r="C25" s="16">
        <f t="shared" si="6"/>
        <v>-872611.67419116281</v>
      </c>
      <c r="D25" s="16">
        <f>IF(A25&lt;=$B$3,PMT(利回り!$F$5/12,利回り!$F$4*12,利回り!$F$2,0),0)</f>
        <v>-109076.45927389535</v>
      </c>
      <c r="E25" s="16">
        <f t="shared" si="7"/>
        <v>-50232.459273895351</v>
      </c>
      <c r="F25" s="16">
        <f t="shared" si="8"/>
        <v>-58844</v>
      </c>
      <c r="G25" s="13">
        <f t="shared" si="9"/>
        <v>17602781.325808823</v>
      </c>
    </row>
    <row r="26" spans="1:7" x14ac:dyDescent="0.45">
      <c r="A26">
        <f t="shared" si="5"/>
        <v>1</v>
      </c>
      <c r="B26">
        <v>9</v>
      </c>
      <c r="C26" s="16">
        <f t="shared" si="6"/>
        <v>-981688.13346505817</v>
      </c>
      <c r="D26" s="16">
        <f>IF(A26&lt;=$B$3,PMT(利回り!$F$5/12,利回り!$F$4*12,利回り!$F$2,0),0)</f>
        <v>-109076.45927389535</v>
      </c>
      <c r="E26" s="16">
        <f t="shared" si="7"/>
        <v>-50400.459273895351</v>
      </c>
      <c r="F26" s="16">
        <f t="shared" si="8"/>
        <v>-58676</v>
      </c>
      <c r="G26" s="13">
        <f t="shared" si="9"/>
        <v>17552380.866534926</v>
      </c>
    </row>
    <row r="27" spans="1:7" x14ac:dyDescent="0.45">
      <c r="A27">
        <f t="shared" si="5"/>
        <v>1</v>
      </c>
      <c r="B27">
        <v>10</v>
      </c>
      <c r="C27" s="16">
        <f t="shared" si="6"/>
        <v>-1090764.5927389534</v>
      </c>
      <c r="D27" s="16">
        <f>IF(A27&lt;=$B$3,PMT(利回り!$F$5/12,利回り!$F$4*12,利回り!$F$2,0),0)</f>
        <v>-109076.45927389535</v>
      </c>
      <c r="E27" s="16">
        <f t="shared" si="7"/>
        <v>-50568.459273895351</v>
      </c>
      <c r="F27" s="16">
        <f t="shared" si="8"/>
        <v>-58508</v>
      </c>
      <c r="G27" s="13">
        <f t="shared" si="9"/>
        <v>17501812.407261029</v>
      </c>
    </row>
    <row r="28" spans="1:7" x14ac:dyDescent="0.45">
      <c r="A28">
        <f t="shared" si="5"/>
        <v>1</v>
      </c>
      <c r="B28">
        <v>11</v>
      </c>
      <c r="C28" s="16">
        <f t="shared" si="6"/>
        <v>-1199841.0520128487</v>
      </c>
      <c r="D28" s="16">
        <f>IF(A28&lt;=$B$3,PMT(利回り!$F$5/12,利回り!$F$4*12,利回り!$F$2,0),0)</f>
        <v>-109076.45927389535</v>
      </c>
      <c r="E28" s="16">
        <f t="shared" si="7"/>
        <v>-50736.459273895351</v>
      </c>
      <c r="F28" s="16">
        <f t="shared" si="8"/>
        <v>-58340</v>
      </c>
      <c r="G28" s="13">
        <f t="shared" si="9"/>
        <v>17451075.947987132</v>
      </c>
    </row>
    <row r="29" spans="1:7" x14ac:dyDescent="0.45">
      <c r="A29">
        <f t="shared" si="5"/>
        <v>1</v>
      </c>
      <c r="B29">
        <v>12</v>
      </c>
      <c r="C29" s="16">
        <f t="shared" si="6"/>
        <v>-1308917.5112867439</v>
      </c>
      <c r="D29" s="16">
        <f>IF(A29&lt;=$B$3,PMT(利回り!$F$5/12,利回り!$F$4*12,利回り!$F$2,0),0)</f>
        <v>-109076.45927389535</v>
      </c>
      <c r="E29" s="16">
        <f t="shared" si="7"/>
        <v>-50905.459273895351</v>
      </c>
      <c r="F29" s="16">
        <f t="shared" si="8"/>
        <v>-58171</v>
      </c>
      <c r="G29" s="13">
        <f t="shared" si="9"/>
        <v>17400170.488713235</v>
      </c>
    </row>
    <row r="30" spans="1:7" x14ac:dyDescent="0.45">
      <c r="A30">
        <f t="shared" si="5"/>
        <v>2</v>
      </c>
      <c r="B30">
        <v>13</v>
      </c>
      <c r="C30" s="16">
        <f t="shared" si="6"/>
        <v>-1417993.9705606392</v>
      </c>
      <c r="D30" s="16">
        <f>IF(A30&lt;=$B$3,PMT(利回り!$F$5/12,利回り!$F$4*12,利回り!$F$2,0),0)</f>
        <v>-109076.45927389535</v>
      </c>
      <c r="E30" s="16">
        <f t="shared" si="7"/>
        <v>-51075.459273895351</v>
      </c>
      <c r="F30" s="16">
        <f t="shared" si="8"/>
        <v>-58001</v>
      </c>
      <c r="G30" s="13">
        <f t="shared" si="9"/>
        <v>17349095.029439338</v>
      </c>
    </row>
    <row r="31" spans="1:7" x14ac:dyDescent="0.45">
      <c r="A31">
        <f t="shared" si="5"/>
        <v>2</v>
      </c>
      <c r="B31">
        <v>14</v>
      </c>
      <c r="C31" s="16">
        <f t="shared" si="6"/>
        <v>-1527070.4298345344</v>
      </c>
      <c r="D31" s="16">
        <f>IF(A31&lt;=$B$3,PMT(利回り!$F$5/12,利回り!$F$4*12,利回り!$F$2,0),0)</f>
        <v>-109076.45927389535</v>
      </c>
      <c r="E31" s="16">
        <f t="shared" si="7"/>
        <v>-51245.459273895351</v>
      </c>
      <c r="F31" s="16">
        <f t="shared" si="8"/>
        <v>-57831</v>
      </c>
      <c r="G31" s="13">
        <f t="shared" si="9"/>
        <v>17297849.57016544</v>
      </c>
    </row>
    <row r="32" spans="1:7" x14ac:dyDescent="0.45">
      <c r="A32">
        <f t="shared" si="5"/>
        <v>2</v>
      </c>
      <c r="B32">
        <v>15</v>
      </c>
      <c r="C32" s="16">
        <f t="shared" si="6"/>
        <v>-1636146.8891084297</v>
      </c>
      <c r="D32" s="16">
        <f>IF(A32&lt;=$B$3,PMT(利回り!$F$5/12,利回り!$F$4*12,利回り!$F$2,0),0)</f>
        <v>-109076.45927389535</v>
      </c>
      <c r="E32" s="16">
        <f t="shared" si="7"/>
        <v>-51416.459273895351</v>
      </c>
      <c r="F32" s="16">
        <f t="shared" si="8"/>
        <v>-57660</v>
      </c>
      <c r="G32" s="13">
        <f t="shared" si="9"/>
        <v>17246433.110891543</v>
      </c>
    </row>
    <row r="33" spans="1:7" x14ac:dyDescent="0.45">
      <c r="A33">
        <f t="shared" si="5"/>
        <v>2</v>
      </c>
      <c r="B33">
        <v>16</v>
      </c>
      <c r="C33" s="16">
        <f t="shared" si="6"/>
        <v>-1745223.3483823249</v>
      </c>
      <c r="D33" s="16">
        <f>IF(A33&lt;=$B$3,PMT(利回り!$F$5/12,利回り!$F$4*12,利回り!$F$2,0),0)</f>
        <v>-109076.45927389535</v>
      </c>
      <c r="E33" s="16">
        <f t="shared" si="7"/>
        <v>-51587.459273895351</v>
      </c>
      <c r="F33" s="16">
        <f t="shared" si="8"/>
        <v>-57489</v>
      </c>
      <c r="G33" s="13">
        <f t="shared" si="9"/>
        <v>17194845.651617646</v>
      </c>
    </row>
    <row r="34" spans="1:7" x14ac:dyDescent="0.45">
      <c r="A34">
        <f t="shared" si="5"/>
        <v>2</v>
      </c>
      <c r="B34">
        <v>17</v>
      </c>
      <c r="C34" s="16">
        <f t="shared" si="6"/>
        <v>-1854299.8076562202</v>
      </c>
      <c r="D34" s="16">
        <f>IF(A34&lt;=$B$3,PMT(利回り!$F$5/12,利回り!$F$4*12,利回り!$F$2,0),0)</f>
        <v>-109076.45927389535</v>
      </c>
      <c r="E34" s="16">
        <f t="shared" si="7"/>
        <v>-51759.459273895351</v>
      </c>
      <c r="F34" s="16">
        <f t="shared" si="8"/>
        <v>-57317</v>
      </c>
      <c r="G34" s="13">
        <f t="shared" si="9"/>
        <v>17143086.192343749</v>
      </c>
    </row>
    <row r="35" spans="1:7" x14ac:dyDescent="0.45">
      <c r="A35">
        <f t="shared" si="5"/>
        <v>2</v>
      </c>
      <c r="B35">
        <v>18</v>
      </c>
      <c r="C35" s="16">
        <f t="shared" si="6"/>
        <v>-1963376.2669301154</v>
      </c>
      <c r="D35" s="16">
        <f>IF(A35&lt;=$B$3,PMT(利回り!$F$5/12,利回り!$F$4*12,利回り!$F$2,0),0)</f>
        <v>-109076.45927389535</v>
      </c>
      <c r="E35" s="16">
        <f t="shared" si="7"/>
        <v>-51932.459273895351</v>
      </c>
      <c r="F35" s="16">
        <f t="shared" si="8"/>
        <v>-57144</v>
      </c>
      <c r="G35" s="13">
        <f t="shared" si="9"/>
        <v>17091153.733069852</v>
      </c>
    </row>
    <row r="36" spans="1:7" x14ac:dyDescent="0.45">
      <c r="A36">
        <f t="shared" si="5"/>
        <v>2</v>
      </c>
      <c r="B36">
        <v>19</v>
      </c>
      <c r="C36" s="16">
        <f t="shared" si="6"/>
        <v>-2072452.7262040107</v>
      </c>
      <c r="D36" s="16">
        <f>IF(A36&lt;=$B$3,PMT(利回り!$F$5/12,利回り!$F$4*12,利回り!$F$2,0),0)</f>
        <v>-109076.45927389535</v>
      </c>
      <c r="E36" s="16">
        <f t="shared" si="7"/>
        <v>-52105.459273895351</v>
      </c>
      <c r="F36" s="16">
        <f t="shared" si="8"/>
        <v>-56971</v>
      </c>
      <c r="G36" s="13">
        <f t="shared" si="9"/>
        <v>17039048.273795955</v>
      </c>
    </row>
    <row r="37" spans="1:7" x14ac:dyDescent="0.45">
      <c r="A37">
        <f t="shared" si="5"/>
        <v>2</v>
      </c>
      <c r="B37">
        <v>20</v>
      </c>
      <c r="C37" s="16">
        <f t="shared" si="6"/>
        <v>-2181529.1854779059</v>
      </c>
      <c r="D37" s="16">
        <f>IF(A37&lt;=$B$3,PMT(利回り!$F$5/12,利回り!$F$4*12,利回り!$F$2,0),0)</f>
        <v>-109076.45927389535</v>
      </c>
      <c r="E37" s="16">
        <f t="shared" si="7"/>
        <v>-52279.459273895351</v>
      </c>
      <c r="F37" s="16">
        <f t="shared" si="8"/>
        <v>-56797</v>
      </c>
      <c r="G37" s="13">
        <f t="shared" si="9"/>
        <v>16986768.814522058</v>
      </c>
    </row>
    <row r="38" spans="1:7" x14ac:dyDescent="0.45">
      <c r="A38">
        <f t="shared" si="5"/>
        <v>2</v>
      </c>
      <c r="B38">
        <v>21</v>
      </c>
      <c r="C38" s="16">
        <f t="shared" si="6"/>
        <v>-2290605.6447518012</v>
      </c>
      <c r="D38" s="16">
        <f>IF(A38&lt;=$B$3,PMT(利回り!$F$5/12,利回り!$F$4*12,利回り!$F$2,0),0)</f>
        <v>-109076.45927389535</v>
      </c>
      <c r="E38" s="16">
        <f t="shared" si="7"/>
        <v>-52453.459273895351</v>
      </c>
      <c r="F38" s="16">
        <f t="shared" si="8"/>
        <v>-56623</v>
      </c>
      <c r="G38" s="13">
        <f t="shared" si="9"/>
        <v>16934315.355248161</v>
      </c>
    </row>
    <row r="39" spans="1:7" x14ac:dyDescent="0.45">
      <c r="A39">
        <f t="shared" si="5"/>
        <v>2</v>
      </c>
      <c r="B39">
        <v>22</v>
      </c>
      <c r="C39" s="16">
        <f t="shared" si="6"/>
        <v>-2399682.1040256964</v>
      </c>
      <c r="D39" s="16">
        <f>IF(A39&lt;=$B$3,PMT(利回り!$F$5/12,利回り!$F$4*12,利回り!$F$2,0),0)</f>
        <v>-109076.45927389535</v>
      </c>
      <c r="E39" s="16">
        <f t="shared" si="7"/>
        <v>-52628.459273895351</v>
      </c>
      <c r="F39" s="16">
        <f t="shared" si="8"/>
        <v>-56448</v>
      </c>
      <c r="G39" s="13">
        <f t="shared" si="9"/>
        <v>16881686.895974264</v>
      </c>
    </row>
    <row r="40" spans="1:7" x14ac:dyDescent="0.45">
      <c r="A40">
        <f t="shared" si="5"/>
        <v>2</v>
      </c>
      <c r="B40">
        <v>23</v>
      </c>
      <c r="C40" s="16">
        <f t="shared" si="6"/>
        <v>-2508758.5632995917</v>
      </c>
      <c r="D40" s="16">
        <f>IF(A40&lt;=$B$3,PMT(利回り!$F$5/12,利回り!$F$4*12,利回り!$F$2,0),0)</f>
        <v>-109076.45927389535</v>
      </c>
      <c r="E40" s="16">
        <f t="shared" si="7"/>
        <v>-52803.459273895351</v>
      </c>
      <c r="F40" s="16">
        <f t="shared" si="8"/>
        <v>-56273</v>
      </c>
      <c r="G40" s="13">
        <f t="shared" si="9"/>
        <v>16828883.436700366</v>
      </c>
    </row>
    <row r="41" spans="1:7" x14ac:dyDescent="0.45">
      <c r="A41">
        <f t="shared" si="5"/>
        <v>2</v>
      </c>
      <c r="B41">
        <v>24</v>
      </c>
      <c r="C41" s="16">
        <f t="shared" si="6"/>
        <v>-2617835.0225734869</v>
      </c>
      <c r="D41" s="16">
        <f>IF(A41&lt;=$B$3,PMT(利回り!$F$5/12,利回り!$F$4*12,利回り!$F$2,0),0)</f>
        <v>-109076.45927389535</v>
      </c>
      <c r="E41" s="16">
        <f t="shared" si="7"/>
        <v>-52979.459273895351</v>
      </c>
      <c r="F41" s="16">
        <f t="shared" si="8"/>
        <v>-56097</v>
      </c>
      <c r="G41" s="13">
        <f t="shared" si="9"/>
        <v>16775903.977426471</v>
      </c>
    </row>
    <row r="42" spans="1:7" x14ac:dyDescent="0.45">
      <c r="A42">
        <f t="shared" si="5"/>
        <v>3</v>
      </c>
      <c r="B42">
        <v>25</v>
      </c>
      <c r="C42" s="16">
        <f t="shared" si="6"/>
        <v>-2726911.4818473822</v>
      </c>
      <c r="D42" s="16">
        <f>IF(A42&lt;=$B$3,PMT(利回り!$F$5/12,利回り!$F$4*12,利回り!$F$2,0),0)</f>
        <v>-109076.45927389535</v>
      </c>
      <c r="E42" s="16">
        <f t="shared" si="7"/>
        <v>-53156.459273895351</v>
      </c>
      <c r="F42" s="16">
        <f t="shared" si="8"/>
        <v>-55920</v>
      </c>
      <c r="G42" s="13">
        <f t="shared" si="9"/>
        <v>16722747.518152576</v>
      </c>
    </row>
    <row r="43" spans="1:7" x14ac:dyDescent="0.45">
      <c r="A43">
        <f t="shared" si="5"/>
        <v>3</v>
      </c>
      <c r="B43">
        <v>26</v>
      </c>
      <c r="C43" s="16">
        <f t="shared" si="6"/>
        <v>-2835987.9411212774</v>
      </c>
      <c r="D43" s="16">
        <f>IF(A43&lt;=$B$3,PMT(利回り!$F$5/12,利回り!$F$4*12,利回り!$F$2,0),0)</f>
        <v>-109076.45927389535</v>
      </c>
      <c r="E43" s="16">
        <f t="shared" si="7"/>
        <v>-53333.459273895351</v>
      </c>
      <c r="F43" s="16">
        <f t="shared" si="8"/>
        <v>-55743</v>
      </c>
      <c r="G43" s="13">
        <f t="shared" si="9"/>
        <v>16669414.058878681</v>
      </c>
    </row>
    <row r="44" spans="1:7" x14ac:dyDescent="0.45">
      <c r="A44">
        <f t="shared" si="5"/>
        <v>3</v>
      </c>
      <c r="B44">
        <v>27</v>
      </c>
      <c r="C44" s="16">
        <f t="shared" si="6"/>
        <v>-2945064.4003951726</v>
      </c>
      <c r="D44" s="16">
        <f>IF(A44&lt;=$B$3,PMT(利回り!$F$5/12,利回り!$F$4*12,利回り!$F$2,0),0)</f>
        <v>-109076.45927389535</v>
      </c>
      <c r="E44" s="16">
        <f t="shared" si="7"/>
        <v>-53511.459273895351</v>
      </c>
      <c r="F44" s="16">
        <f t="shared" si="8"/>
        <v>-55565</v>
      </c>
      <c r="G44" s="13">
        <f t="shared" si="9"/>
        <v>16615902.599604785</v>
      </c>
    </row>
    <row r="45" spans="1:7" x14ac:dyDescent="0.45">
      <c r="A45">
        <f t="shared" si="5"/>
        <v>3</v>
      </c>
      <c r="B45">
        <v>28</v>
      </c>
      <c r="C45" s="16">
        <f t="shared" si="6"/>
        <v>-3054140.8596690679</v>
      </c>
      <c r="D45" s="16">
        <f>IF(A45&lt;=$B$3,PMT(利回り!$F$5/12,利回り!$F$4*12,利回り!$F$2,0),0)</f>
        <v>-109076.45927389535</v>
      </c>
      <c r="E45" s="16">
        <f t="shared" si="7"/>
        <v>-53689.459273895351</v>
      </c>
      <c r="F45" s="16">
        <f t="shared" si="8"/>
        <v>-55387</v>
      </c>
      <c r="G45" s="13">
        <f t="shared" si="9"/>
        <v>16562213.14033089</v>
      </c>
    </row>
    <row r="46" spans="1:7" x14ac:dyDescent="0.45">
      <c r="A46">
        <f t="shared" si="5"/>
        <v>3</v>
      </c>
      <c r="B46">
        <v>29</v>
      </c>
      <c r="C46" s="16">
        <f t="shared" si="6"/>
        <v>-3163217.3189429631</v>
      </c>
      <c r="D46" s="16">
        <f>IF(A46&lt;=$B$3,PMT(利回り!$F$5/12,利回り!$F$4*12,利回り!$F$2,0),0)</f>
        <v>-109076.45927389535</v>
      </c>
      <c r="E46" s="16">
        <f t="shared" si="7"/>
        <v>-53868.459273895351</v>
      </c>
      <c r="F46" s="16">
        <f t="shared" si="8"/>
        <v>-55208</v>
      </c>
      <c r="G46" s="13">
        <f t="shared" si="9"/>
        <v>16508344.681056995</v>
      </c>
    </row>
    <row r="47" spans="1:7" x14ac:dyDescent="0.45">
      <c r="A47">
        <f t="shared" si="5"/>
        <v>3</v>
      </c>
      <c r="B47">
        <v>30</v>
      </c>
      <c r="C47" s="16">
        <f t="shared" si="6"/>
        <v>-3272293.7782168584</v>
      </c>
      <c r="D47" s="16">
        <f>IF(A47&lt;=$B$3,PMT(利回り!$F$5/12,利回り!$F$4*12,利回り!$F$2,0),0)</f>
        <v>-109076.45927389535</v>
      </c>
      <c r="E47" s="16">
        <f t="shared" si="7"/>
        <v>-54048.459273895351</v>
      </c>
      <c r="F47" s="16">
        <f t="shared" si="8"/>
        <v>-55028</v>
      </c>
      <c r="G47" s="13">
        <f t="shared" si="9"/>
        <v>16454296.2217831</v>
      </c>
    </row>
    <row r="48" spans="1:7" x14ac:dyDescent="0.45">
      <c r="A48">
        <f t="shared" si="5"/>
        <v>3</v>
      </c>
      <c r="B48">
        <v>31</v>
      </c>
      <c r="C48" s="16">
        <f t="shared" si="6"/>
        <v>-3381370.2374907536</v>
      </c>
      <c r="D48" s="16">
        <f>IF(A48&lt;=$B$3,PMT(利回り!$F$5/12,利回り!$F$4*12,利回り!$F$2,0),0)</f>
        <v>-109076.45927389535</v>
      </c>
      <c r="E48" s="16">
        <f t="shared" si="7"/>
        <v>-54228.459273895351</v>
      </c>
      <c r="F48" s="16">
        <f t="shared" si="8"/>
        <v>-54848</v>
      </c>
      <c r="G48" s="13">
        <f t="shared" si="9"/>
        <v>16400067.762509204</v>
      </c>
    </row>
    <row r="49" spans="1:7" x14ac:dyDescent="0.45">
      <c r="A49">
        <f t="shared" si="5"/>
        <v>3</v>
      </c>
      <c r="B49">
        <v>32</v>
      </c>
      <c r="C49" s="16">
        <f t="shared" si="6"/>
        <v>-3490446.6967646489</v>
      </c>
      <c r="D49" s="16">
        <f>IF(A49&lt;=$B$3,PMT(利回り!$F$5/12,利回り!$F$4*12,利回り!$F$2,0),0)</f>
        <v>-109076.45927389535</v>
      </c>
      <c r="E49" s="16">
        <f t="shared" si="7"/>
        <v>-54409.459273895351</v>
      </c>
      <c r="F49" s="16">
        <f t="shared" si="8"/>
        <v>-54667</v>
      </c>
      <c r="G49" s="13">
        <f t="shared" si="9"/>
        <v>16345658.303235309</v>
      </c>
    </row>
    <row r="50" spans="1:7" x14ac:dyDescent="0.45">
      <c r="A50">
        <f t="shared" si="5"/>
        <v>3</v>
      </c>
      <c r="B50">
        <v>33</v>
      </c>
      <c r="C50" s="16">
        <f t="shared" si="6"/>
        <v>-3599523.1560385441</v>
      </c>
      <c r="D50" s="16">
        <f>IF(A50&lt;=$B$3,PMT(利回り!$F$5/12,利回り!$F$4*12,利回り!$F$2,0),0)</f>
        <v>-109076.45927389535</v>
      </c>
      <c r="E50" s="16">
        <f t="shared" si="7"/>
        <v>-54590.459273895351</v>
      </c>
      <c r="F50" s="16">
        <f t="shared" si="8"/>
        <v>-54486</v>
      </c>
      <c r="G50" s="13">
        <f t="shared" si="9"/>
        <v>16291067.843961414</v>
      </c>
    </row>
    <row r="51" spans="1:7" x14ac:dyDescent="0.45">
      <c r="A51">
        <f t="shared" si="5"/>
        <v>3</v>
      </c>
      <c r="B51">
        <v>34</v>
      </c>
      <c r="C51" s="16">
        <f t="shared" si="6"/>
        <v>-3708599.6153124394</v>
      </c>
      <c r="D51" s="16">
        <f>IF(A51&lt;=$B$3,PMT(利回り!$F$5/12,利回り!$F$4*12,利回り!$F$2,0),0)</f>
        <v>-109076.45927389535</v>
      </c>
      <c r="E51" s="16">
        <f t="shared" si="7"/>
        <v>-54772.459273895351</v>
      </c>
      <c r="F51" s="16">
        <f t="shared" si="8"/>
        <v>-54304</v>
      </c>
      <c r="G51" s="13">
        <f t="shared" si="9"/>
        <v>16236295.384687519</v>
      </c>
    </row>
    <row r="52" spans="1:7" x14ac:dyDescent="0.45">
      <c r="A52">
        <f t="shared" si="5"/>
        <v>3</v>
      </c>
      <c r="B52">
        <v>35</v>
      </c>
      <c r="C52" s="16">
        <f t="shared" si="6"/>
        <v>-3817676.0745863346</v>
      </c>
      <c r="D52" s="16">
        <f>IF(A52&lt;=$B$3,PMT(利回り!$F$5/12,利回り!$F$4*12,利回り!$F$2,0),0)</f>
        <v>-109076.45927389535</v>
      </c>
      <c r="E52" s="16">
        <f t="shared" si="7"/>
        <v>-54955.459273895351</v>
      </c>
      <c r="F52" s="16">
        <f t="shared" si="8"/>
        <v>-54121</v>
      </c>
      <c r="G52" s="13">
        <f t="shared" si="9"/>
        <v>16181339.925413623</v>
      </c>
    </row>
    <row r="53" spans="1:7" x14ac:dyDescent="0.45">
      <c r="A53">
        <f t="shared" si="5"/>
        <v>3</v>
      </c>
      <c r="B53">
        <v>36</v>
      </c>
      <c r="C53" s="16">
        <f t="shared" si="6"/>
        <v>-3926752.5338602299</v>
      </c>
      <c r="D53" s="16">
        <f>IF(A53&lt;=$B$3,PMT(利回り!$F$5/12,利回り!$F$4*12,利回り!$F$2,0),0)</f>
        <v>-109076.45927389535</v>
      </c>
      <c r="E53" s="16">
        <f t="shared" si="7"/>
        <v>-55138.459273895351</v>
      </c>
      <c r="F53" s="16">
        <f t="shared" si="8"/>
        <v>-53938</v>
      </c>
      <c r="G53" s="13">
        <f t="shared" si="9"/>
        <v>16126201.466139728</v>
      </c>
    </row>
    <row r="54" spans="1:7" x14ac:dyDescent="0.45">
      <c r="A54">
        <f t="shared" si="5"/>
        <v>4</v>
      </c>
      <c r="B54">
        <v>37</v>
      </c>
      <c r="C54" s="16">
        <f t="shared" si="6"/>
        <v>-4035828.9931341251</v>
      </c>
      <c r="D54" s="16">
        <f>IF(A54&lt;=$B$3,PMT(利回り!$F$5/12,利回り!$F$4*12,利回り!$F$2,0),0)</f>
        <v>-109076.45927389535</v>
      </c>
      <c r="E54" s="16">
        <f t="shared" si="7"/>
        <v>-55321.459273895351</v>
      </c>
      <c r="F54" s="16">
        <f t="shared" si="8"/>
        <v>-53755</v>
      </c>
      <c r="G54" s="13">
        <f t="shared" si="9"/>
        <v>16070880.006865833</v>
      </c>
    </row>
    <row r="55" spans="1:7" x14ac:dyDescent="0.45">
      <c r="A55">
        <f t="shared" si="5"/>
        <v>4</v>
      </c>
      <c r="B55">
        <v>38</v>
      </c>
      <c r="C55" s="16">
        <f t="shared" si="6"/>
        <v>-4144905.4524080204</v>
      </c>
      <c r="D55" s="16">
        <f>IF(A55&lt;=$B$3,PMT(利回り!$F$5/12,利回り!$F$4*12,利回り!$F$2,0),0)</f>
        <v>-109076.45927389535</v>
      </c>
      <c r="E55" s="16">
        <f t="shared" si="7"/>
        <v>-55506.459273895351</v>
      </c>
      <c r="F55" s="16">
        <f t="shared" si="8"/>
        <v>-53570</v>
      </c>
      <c r="G55" s="13">
        <f t="shared" si="9"/>
        <v>16015373.547591938</v>
      </c>
    </row>
    <row r="56" spans="1:7" x14ac:dyDescent="0.45">
      <c r="A56">
        <f t="shared" si="5"/>
        <v>4</v>
      </c>
      <c r="B56">
        <v>39</v>
      </c>
      <c r="C56" s="16">
        <f t="shared" si="6"/>
        <v>-4253981.9116819156</v>
      </c>
      <c r="D56" s="16">
        <f>IF(A56&lt;=$B$3,PMT(利回り!$F$5/12,利回り!$F$4*12,利回り!$F$2,0),0)</f>
        <v>-109076.45927389535</v>
      </c>
      <c r="E56" s="16">
        <f t="shared" si="7"/>
        <v>-55691.459273895351</v>
      </c>
      <c r="F56" s="16">
        <f t="shared" si="8"/>
        <v>-53385</v>
      </c>
      <c r="G56" s="13">
        <f t="shared" si="9"/>
        <v>15959682.088318042</v>
      </c>
    </row>
    <row r="57" spans="1:7" x14ac:dyDescent="0.45">
      <c r="A57">
        <f t="shared" si="5"/>
        <v>4</v>
      </c>
      <c r="B57">
        <v>40</v>
      </c>
      <c r="C57" s="16">
        <f t="shared" si="6"/>
        <v>-4363058.3709558109</v>
      </c>
      <c r="D57" s="16">
        <f>IF(A57&lt;=$B$3,PMT(利回り!$F$5/12,利回り!$F$4*12,利回り!$F$2,0),0)</f>
        <v>-109076.45927389535</v>
      </c>
      <c r="E57" s="16">
        <f t="shared" si="7"/>
        <v>-55877.459273895351</v>
      </c>
      <c r="F57" s="16">
        <f t="shared" si="8"/>
        <v>-53199</v>
      </c>
      <c r="G57" s="13">
        <f t="shared" si="9"/>
        <v>15903804.629044147</v>
      </c>
    </row>
    <row r="58" spans="1:7" x14ac:dyDescent="0.45">
      <c r="A58">
        <f t="shared" si="5"/>
        <v>4</v>
      </c>
      <c r="B58">
        <v>41</v>
      </c>
      <c r="C58" s="16">
        <f t="shared" si="6"/>
        <v>-4472134.8302297061</v>
      </c>
      <c r="D58" s="16">
        <f>IF(A58&lt;=$B$3,PMT(利回り!$F$5/12,利回り!$F$4*12,利回り!$F$2,0),0)</f>
        <v>-109076.45927389535</v>
      </c>
      <c r="E58" s="16">
        <f t="shared" si="7"/>
        <v>-56063.459273895351</v>
      </c>
      <c r="F58" s="16">
        <f t="shared" si="8"/>
        <v>-53013</v>
      </c>
      <c r="G58" s="13">
        <f t="shared" si="9"/>
        <v>15847741.169770252</v>
      </c>
    </row>
    <row r="59" spans="1:7" x14ac:dyDescent="0.45">
      <c r="A59">
        <f t="shared" si="5"/>
        <v>4</v>
      </c>
      <c r="B59">
        <v>42</v>
      </c>
      <c r="C59" s="16">
        <f t="shared" si="6"/>
        <v>-4581211.2895036014</v>
      </c>
      <c r="D59" s="16">
        <f>IF(A59&lt;=$B$3,PMT(利回り!$F$5/12,利回り!$F$4*12,利回り!$F$2,0),0)</f>
        <v>-109076.45927389535</v>
      </c>
      <c r="E59" s="16">
        <f t="shared" si="7"/>
        <v>-56250.459273895351</v>
      </c>
      <c r="F59" s="16">
        <f t="shared" si="8"/>
        <v>-52826</v>
      </c>
      <c r="G59" s="13">
        <f t="shared" si="9"/>
        <v>15791490.710496357</v>
      </c>
    </row>
    <row r="60" spans="1:7" x14ac:dyDescent="0.45">
      <c r="A60">
        <f t="shared" si="5"/>
        <v>4</v>
      </c>
      <c r="B60">
        <v>43</v>
      </c>
      <c r="C60" s="16">
        <f t="shared" si="6"/>
        <v>-4690287.7487774966</v>
      </c>
      <c r="D60" s="16">
        <f>IF(A60&lt;=$B$3,PMT(利回り!$F$5/12,利回り!$F$4*12,利回り!$F$2,0),0)</f>
        <v>-109076.45927389535</v>
      </c>
      <c r="E60" s="16">
        <f t="shared" si="7"/>
        <v>-56437.459273895351</v>
      </c>
      <c r="F60" s="16">
        <f t="shared" si="8"/>
        <v>-52639</v>
      </c>
      <c r="G60" s="13">
        <f t="shared" si="9"/>
        <v>15735053.251222461</v>
      </c>
    </row>
    <row r="61" spans="1:7" x14ac:dyDescent="0.45">
      <c r="A61">
        <f t="shared" si="5"/>
        <v>4</v>
      </c>
      <c r="B61">
        <v>44</v>
      </c>
      <c r="C61" s="16">
        <f t="shared" si="6"/>
        <v>-4799364.2080513919</v>
      </c>
      <c r="D61" s="16">
        <f>IF(A61&lt;=$B$3,PMT(利回り!$F$5/12,利回り!$F$4*12,利回り!$F$2,0),0)</f>
        <v>-109076.45927389535</v>
      </c>
      <c r="E61" s="16">
        <f t="shared" si="7"/>
        <v>-56625.459273895351</v>
      </c>
      <c r="F61" s="16">
        <f t="shared" si="8"/>
        <v>-52451</v>
      </c>
      <c r="G61" s="13">
        <f t="shared" si="9"/>
        <v>15678427.791948566</v>
      </c>
    </row>
    <row r="62" spans="1:7" x14ac:dyDescent="0.45">
      <c r="A62">
        <f t="shared" si="5"/>
        <v>4</v>
      </c>
      <c r="B62">
        <v>45</v>
      </c>
      <c r="C62" s="16">
        <f t="shared" si="6"/>
        <v>-4908440.6673252871</v>
      </c>
      <c r="D62" s="16">
        <f>IF(A62&lt;=$B$3,PMT(利回り!$F$5/12,利回り!$F$4*12,利回り!$F$2,0),0)</f>
        <v>-109076.45927389535</v>
      </c>
      <c r="E62" s="16">
        <f t="shared" si="7"/>
        <v>-56814.459273895351</v>
      </c>
      <c r="F62" s="16">
        <f t="shared" si="8"/>
        <v>-52262</v>
      </c>
      <c r="G62" s="13">
        <f t="shared" si="9"/>
        <v>15621613.332674671</v>
      </c>
    </row>
    <row r="63" spans="1:7" x14ac:dyDescent="0.45">
      <c r="A63">
        <f t="shared" si="5"/>
        <v>4</v>
      </c>
      <c r="B63">
        <v>46</v>
      </c>
      <c r="C63" s="16">
        <f t="shared" si="6"/>
        <v>-5017517.1265991824</v>
      </c>
      <c r="D63" s="16">
        <f>IF(A63&lt;=$B$3,PMT(利回り!$F$5/12,利回り!$F$4*12,利回り!$F$2,0),0)</f>
        <v>-109076.45927389535</v>
      </c>
      <c r="E63" s="16">
        <f t="shared" si="7"/>
        <v>-57003.459273895351</v>
      </c>
      <c r="F63" s="16">
        <f t="shared" si="8"/>
        <v>-52073</v>
      </c>
      <c r="G63" s="13">
        <f t="shared" si="9"/>
        <v>15564609.873400776</v>
      </c>
    </row>
    <row r="64" spans="1:7" x14ac:dyDescent="0.45">
      <c r="A64">
        <f t="shared" si="5"/>
        <v>4</v>
      </c>
      <c r="B64">
        <v>47</v>
      </c>
      <c r="C64" s="16">
        <f t="shared" si="6"/>
        <v>-5126593.5858730776</v>
      </c>
      <c r="D64" s="16">
        <f>IF(A64&lt;=$B$3,PMT(利回り!$F$5/12,利回り!$F$4*12,利回り!$F$2,0),0)</f>
        <v>-109076.45927389535</v>
      </c>
      <c r="E64" s="16">
        <f t="shared" si="7"/>
        <v>-57193.459273895351</v>
      </c>
      <c r="F64" s="16">
        <f t="shared" si="8"/>
        <v>-51883</v>
      </c>
      <c r="G64" s="13">
        <f t="shared" si="9"/>
        <v>15507416.41412688</v>
      </c>
    </row>
    <row r="65" spans="1:7" x14ac:dyDescent="0.45">
      <c r="A65">
        <f t="shared" si="5"/>
        <v>4</v>
      </c>
      <c r="B65">
        <v>48</v>
      </c>
      <c r="C65" s="16">
        <f t="shared" si="6"/>
        <v>-5235670.0451469729</v>
      </c>
      <c r="D65" s="16">
        <f>IF(A65&lt;=$B$3,PMT(利回り!$F$5/12,利回り!$F$4*12,利回り!$F$2,0),0)</f>
        <v>-109076.45927389535</v>
      </c>
      <c r="E65" s="16">
        <f t="shared" si="7"/>
        <v>-57384.459273895351</v>
      </c>
      <c r="F65" s="16">
        <f t="shared" si="8"/>
        <v>-51692</v>
      </c>
      <c r="G65" s="13">
        <f t="shared" si="9"/>
        <v>15450031.954852985</v>
      </c>
    </row>
    <row r="66" spans="1:7" x14ac:dyDescent="0.45">
      <c r="A66">
        <f t="shared" si="5"/>
        <v>5</v>
      </c>
      <c r="B66">
        <v>49</v>
      </c>
      <c r="C66" s="16">
        <f t="shared" si="6"/>
        <v>-5344746.5044208681</v>
      </c>
      <c r="D66" s="16">
        <f>IF(A66&lt;=$B$3,PMT(利回り!$F$5/12,利回り!$F$4*12,利回り!$F$2,0),0)</f>
        <v>-109076.45927389535</v>
      </c>
      <c r="E66" s="16">
        <f t="shared" si="7"/>
        <v>-57575.459273895351</v>
      </c>
      <c r="F66" s="16">
        <f t="shared" si="8"/>
        <v>-51501</v>
      </c>
      <c r="G66" s="13">
        <f t="shared" si="9"/>
        <v>15392456.49557909</v>
      </c>
    </row>
    <row r="67" spans="1:7" x14ac:dyDescent="0.45">
      <c r="A67">
        <f t="shared" si="5"/>
        <v>5</v>
      </c>
      <c r="B67">
        <v>50</v>
      </c>
      <c r="C67" s="16">
        <f t="shared" si="6"/>
        <v>-5453822.9636947634</v>
      </c>
      <c r="D67" s="16">
        <f>IF(A67&lt;=$B$3,PMT(利回り!$F$5/12,利回り!$F$4*12,利回り!$F$2,0),0)</f>
        <v>-109076.45927389535</v>
      </c>
      <c r="E67" s="16">
        <f t="shared" si="7"/>
        <v>-57767.459273895351</v>
      </c>
      <c r="F67" s="16">
        <f t="shared" si="8"/>
        <v>-51309</v>
      </c>
      <c r="G67" s="13">
        <f t="shared" si="9"/>
        <v>15334689.036305195</v>
      </c>
    </row>
    <row r="68" spans="1:7" x14ac:dyDescent="0.45">
      <c r="A68">
        <f t="shared" si="5"/>
        <v>5</v>
      </c>
      <c r="B68">
        <v>51</v>
      </c>
      <c r="C68" s="16">
        <f t="shared" si="6"/>
        <v>-5562899.4229686586</v>
      </c>
      <c r="D68" s="16">
        <f>IF(A68&lt;=$B$3,PMT(利回り!$F$5/12,利回り!$F$4*12,利回り!$F$2,0),0)</f>
        <v>-109076.45927389535</v>
      </c>
      <c r="E68" s="16">
        <f t="shared" si="7"/>
        <v>-57960.459273895351</v>
      </c>
      <c r="F68" s="16">
        <f t="shared" si="8"/>
        <v>-51116</v>
      </c>
      <c r="G68" s="13">
        <f t="shared" si="9"/>
        <v>15276728.577031299</v>
      </c>
    </row>
    <row r="69" spans="1:7" x14ac:dyDescent="0.45">
      <c r="A69">
        <f t="shared" si="5"/>
        <v>5</v>
      </c>
      <c r="B69">
        <v>52</v>
      </c>
      <c r="C69" s="16">
        <f t="shared" si="6"/>
        <v>-5671975.8822425539</v>
      </c>
      <c r="D69" s="16">
        <f>IF(A69&lt;=$B$3,PMT(利回り!$F$5/12,利回り!$F$4*12,利回り!$F$2,0),0)</f>
        <v>-109076.45927389535</v>
      </c>
      <c r="E69" s="16">
        <f t="shared" si="7"/>
        <v>-58153.459273895351</v>
      </c>
      <c r="F69" s="16">
        <f t="shared" si="8"/>
        <v>-50923</v>
      </c>
      <c r="G69" s="13">
        <f t="shared" si="9"/>
        <v>15218575.117757404</v>
      </c>
    </row>
    <row r="70" spans="1:7" x14ac:dyDescent="0.45">
      <c r="A70">
        <f t="shared" si="5"/>
        <v>5</v>
      </c>
      <c r="B70">
        <v>53</v>
      </c>
      <c r="C70" s="16">
        <f t="shared" si="6"/>
        <v>-5781052.3415164491</v>
      </c>
      <c r="D70" s="16">
        <f>IF(A70&lt;=$B$3,PMT(利回り!$F$5/12,利回り!$F$4*12,利回り!$F$2,0),0)</f>
        <v>-109076.45927389535</v>
      </c>
      <c r="E70" s="16">
        <f t="shared" si="7"/>
        <v>-58347.459273895351</v>
      </c>
      <c r="F70" s="16">
        <f t="shared" si="8"/>
        <v>-50729</v>
      </c>
      <c r="G70" s="13">
        <f t="shared" si="9"/>
        <v>15160227.658483509</v>
      </c>
    </row>
    <row r="71" spans="1:7" x14ac:dyDescent="0.45">
      <c r="A71">
        <f t="shared" si="5"/>
        <v>5</v>
      </c>
      <c r="B71">
        <v>54</v>
      </c>
      <c r="C71" s="16">
        <f t="shared" si="6"/>
        <v>-5890128.8007903444</v>
      </c>
      <c r="D71" s="16">
        <f>IF(A71&lt;=$B$3,PMT(利回り!$F$5/12,利回り!$F$4*12,利回り!$F$2,0),0)</f>
        <v>-109076.45927389535</v>
      </c>
      <c r="E71" s="16">
        <f t="shared" si="7"/>
        <v>-58541.459273895351</v>
      </c>
      <c r="F71" s="16">
        <f t="shared" si="8"/>
        <v>-50535</v>
      </c>
      <c r="G71" s="13">
        <f t="shared" si="9"/>
        <v>15101686.199209614</v>
      </c>
    </row>
    <row r="72" spans="1:7" x14ac:dyDescent="0.45">
      <c r="A72">
        <f t="shared" si="5"/>
        <v>5</v>
      </c>
      <c r="B72">
        <v>55</v>
      </c>
      <c r="C72" s="16">
        <f t="shared" si="6"/>
        <v>-5999205.2600642396</v>
      </c>
      <c r="D72" s="16">
        <f>IF(A72&lt;=$B$3,PMT(利回り!$F$5/12,利回り!$F$4*12,利回り!$F$2,0),0)</f>
        <v>-109076.45927389535</v>
      </c>
      <c r="E72" s="16">
        <f t="shared" si="7"/>
        <v>-58737.459273895351</v>
      </c>
      <c r="F72" s="16">
        <f t="shared" si="8"/>
        <v>-50339</v>
      </c>
      <c r="G72" s="13">
        <f t="shared" si="9"/>
        <v>15042948.739935718</v>
      </c>
    </row>
    <row r="73" spans="1:7" x14ac:dyDescent="0.45">
      <c r="A73">
        <f t="shared" si="5"/>
        <v>5</v>
      </c>
      <c r="B73">
        <v>56</v>
      </c>
      <c r="C73" s="16">
        <f t="shared" si="6"/>
        <v>-6108281.7193381349</v>
      </c>
      <c r="D73" s="16">
        <f>IF(A73&lt;=$B$3,PMT(利回り!$F$5/12,利回り!$F$4*12,利回り!$F$2,0),0)</f>
        <v>-109076.45927389535</v>
      </c>
      <c r="E73" s="16">
        <f t="shared" si="7"/>
        <v>-58932.459273895351</v>
      </c>
      <c r="F73" s="16">
        <f t="shared" si="8"/>
        <v>-50144</v>
      </c>
      <c r="G73" s="13">
        <f t="shared" si="9"/>
        <v>14984016.280661823</v>
      </c>
    </row>
    <row r="74" spans="1:7" x14ac:dyDescent="0.45">
      <c r="A74">
        <f t="shared" si="5"/>
        <v>5</v>
      </c>
      <c r="B74">
        <v>57</v>
      </c>
      <c r="C74" s="16">
        <f t="shared" si="6"/>
        <v>-6217358.1786120301</v>
      </c>
      <c r="D74" s="16">
        <f>IF(A74&lt;=$B$3,PMT(利回り!$F$5/12,利回り!$F$4*12,利回り!$F$2,0),0)</f>
        <v>-109076.45927389535</v>
      </c>
      <c r="E74" s="16">
        <f t="shared" si="7"/>
        <v>-59129.459273895351</v>
      </c>
      <c r="F74" s="16">
        <f t="shared" si="8"/>
        <v>-49947</v>
      </c>
      <c r="G74" s="13">
        <f t="shared" si="9"/>
        <v>14924886.821387928</v>
      </c>
    </row>
    <row r="75" spans="1:7" x14ac:dyDescent="0.45">
      <c r="A75">
        <f t="shared" si="5"/>
        <v>5</v>
      </c>
      <c r="B75">
        <v>58</v>
      </c>
      <c r="C75" s="16">
        <f t="shared" si="6"/>
        <v>-6326434.6378859254</v>
      </c>
      <c r="D75" s="16">
        <f>IF(A75&lt;=$B$3,PMT(利回り!$F$5/12,利回り!$F$4*12,利回り!$F$2,0),0)</f>
        <v>-109076.45927389535</v>
      </c>
      <c r="E75" s="16">
        <f t="shared" si="7"/>
        <v>-59326.459273895351</v>
      </c>
      <c r="F75" s="16">
        <f t="shared" si="8"/>
        <v>-49750</v>
      </c>
      <c r="G75" s="13">
        <f t="shared" si="9"/>
        <v>14865560.362114033</v>
      </c>
    </row>
    <row r="76" spans="1:7" x14ac:dyDescent="0.45">
      <c r="A76">
        <f t="shared" si="5"/>
        <v>5</v>
      </c>
      <c r="B76">
        <v>59</v>
      </c>
      <c r="C76" s="16">
        <f t="shared" si="6"/>
        <v>-6435511.0971598206</v>
      </c>
      <c r="D76" s="16">
        <f>IF(A76&lt;=$B$3,PMT(利回り!$F$5/12,利回り!$F$4*12,利回り!$F$2,0),0)</f>
        <v>-109076.45927389535</v>
      </c>
      <c r="E76" s="16">
        <f t="shared" si="7"/>
        <v>-59524.459273895351</v>
      </c>
      <c r="F76" s="16">
        <f t="shared" si="8"/>
        <v>-49552</v>
      </c>
      <c r="G76" s="13">
        <f t="shared" si="9"/>
        <v>14806035.902840137</v>
      </c>
    </row>
    <row r="77" spans="1:7" x14ac:dyDescent="0.45">
      <c r="A77">
        <f t="shared" si="5"/>
        <v>5</v>
      </c>
      <c r="B77">
        <v>60</v>
      </c>
      <c r="C77" s="16">
        <f t="shared" si="6"/>
        <v>-6544587.5564337159</v>
      </c>
      <c r="D77" s="16">
        <f>IF(A77&lt;=$B$3,PMT(利回り!$F$5/12,利回り!$F$4*12,利回り!$F$2,0),0)</f>
        <v>-109076.45927389535</v>
      </c>
      <c r="E77" s="16">
        <f t="shared" si="7"/>
        <v>-59722.459273895351</v>
      </c>
      <c r="F77" s="16">
        <f t="shared" si="8"/>
        <v>-49354</v>
      </c>
      <c r="G77" s="13">
        <f t="shared" si="9"/>
        <v>14746313.443566242</v>
      </c>
    </row>
    <row r="78" spans="1:7" x14ac:dyDescent="0.45">
      <c r="A78">
        <f t="shared" si="5"/>
        <v>6</v>
      </c>
      <c r="B78">
        <v>61</v>
      </c>
      <c r="C78" s="16">
        <f t="shared" si="6"/>
        <v>-6653664.0157076111</v>
      </c>
      <c r="D78" s="16">
        <f>IF(A78&lt;=$B$3,PMT(利回り!$F$5/12,利回り!$F$4*12,利回り!$F$2,0),0)</f>
        <v>-109076.45927389535</v>
      </c>
      <c r="E78" s="16">
        <f t="shared" si="7"/>
        <v>-59921.459273895351</v>
      </c>
      <c r="F78" s="16">
        <f t="shared" si="8"/>
        <v>-49155</v>
      </c>
      <c r="G78" s="13">
        <f t="shared" si="9"/>
        <v>14686391.984292347</v>
      </c>
    </row>
    <row r="79" spans="1:7" x14ac:dyDescent="0.45">
      <c r="A79">
        <f t="shared" si="5"/>
        <v>6</v>
      </c>
      <c r="B79">
        <v>62</v>
      </c>
      <c r="C79" s="16">
        <f t="shared" si="6"/>
        <v>-6762740.4749815064</v>
      </c>
      <c r="D79" s="16">
        <f>IF(A79&lt;=$B$3,PMT(利回り!$F$5/12,利回り!$F$4*12,利回り!$F$2,0),0)</f>
        <v>-109076.45927389535</v>
      </c>
      <c r="E79" s="16">
        <f t="shared" si="7"/>
        <v>-60121.459273895351</v>
      </c>
      <c r="F79" s="16">
        <f t="shared" si="8"/>
        <v>-48955</v>
      </c>
      <c r="G79" s="13">
        <f t="shared" si="9"/>
        <v>14626270.525018452</v>
      </c>
    </row>
    <row r="80" spans="1:7" x14ac:dyDescent="0.45">
      <c r="A80">
        <f t="shared" si="5"/>
        <v>6</v>
      </c>
      <c r="B80">
        <v>63</v>
      </c>
      <c r="C80" s="16">
        <f t="shared" si="6"/>
        <v>-6871816.9342554016</v>
      </c>
      <c r="D80" s="16">
        <f>IF(A80&lt;=$B$3,PMT(利回り!$F$5/12,利回り!$F$4*12,利回り!$F$2,0),0)</f>
        <v>-109076.45927389535</v>
      </c>
      <c r="E80" s="16">
        <f t="shared" si="7"/>
        <v>-60321.459273895351</v>
      </c>
      <c r="F80" s="16">
        <f t="shared" si="8"/>
        <v>-48755</v>
      </c>
      <c r="G80" s="13">
        <f t="shared" si="9"/>
        <v>14565949.065744556</v>
      </c>
    </row>
    <row r="81" spans="1:7" x14ac:dyDescent="0.45">
      <c r="A81">
        <f t="shared" si="5"/>
        <v>6</v>
      </c>
      <c r="B81">
        <v>64</v>
      </c>
      <c r="C81" s="16">
        <f t="shared" si="6"/>
        <v>-6980893.3935292969</v>
      </c>
      <c r="D81" s="16">
        <f>IF(A81&lt;=$B$3,PMT(利回り!$F$5/12,利回り!$F$4*12,利回り!$F$2,0),0)</f>
        <v>-109076.45927389535</v>
      </c>
      <c r="E81" s="16">
        <f t="shared" si="7"/>
        <v>-60522.459273895351</v>
      </c>
      <c r="F81" s="16">
        <f t="shared" si="8"/>
        <v>-48554</v>
      </c>
      <c r="G81" s="13">
        <f t="shared" si="9"/>
        <v>14505426.606470661</v>
      </c>
    </row>
    <row r="82" spans="1:7" x14ac:dyDescent="0.45">
      <c r="A82">
        <f t="shared" si="5"/>
        <v>6</v>
      </c>
      <c r="B82">
        <v>65</v>
      </c>
      <c r="C82" s="16">
        <f t="shared" si="6"/>
        <v>-7089969.8528031921</v>
      </c>
      <c r="D82" s="16">
        <f>IF(A82&lt;=$B$3,PMT(利回り!$F$5/12,利回り!$F$4*12,利回り!$F$2,0),0)</f>
        <v>-109076.45927389535</v>
      </c>
      <c r="E82" s="16">
        <f t="shared" si="7"/>
        <v>-60724.459273895351</v>
      </c>
      <c r="F82" s="16">
        <f t="shared" si="8"/>
        <v>-48352</v>
      </c>
      <c r="G82" s="13">
        <f t="shared" si="9"/>
        <v>14444702.147196766</v>
      </c>
    </row>
    <row r="83" spans="1:7" x14ac:dyDescent="0.45">
      <c r="A83">
        <f t="shared" ref="A83:A146" si="10">INT((B83-1)/12)+1</f>
        <v>6</v>
      </c>
      <c r="B83">
        <v>66</v>
      </c>
      <c r="C83" s="16">
        <f t="shared" si="6"/>
        <v>-7199046.3120770874</v>
      </c>
      <c r="D83" s="16">
        <f>IF(A83&lt;=$B$3,PMT(利回り!$F$5/12,利回り!$F$4*12,利回り!$F$2,0),0)</f>
        <v>-109076.45927389535</v>
      </c>
      <c r="E83" s="16">
        <f t="shared" si="7"/>
        <v>-60926.459273895351</v>
      </c>
      <c r="F83" s="16">
        <f t="shared" si="8"/>
        <v>-48150</v>
      </c>
      <c r="G83" s="13">
        <f t="shared" si="9"/>
        <v>14383775.687922871</v>
      </c>
    </row>
    <row r="84" spans="1:7" x14ac:dyDescent="0.45">
      <c r="A84">
        <f t="shared" si="10"/>
        <v>6</v>
      </c>
      <c r="B84">
        <v>67</v>
      </c>
      <c r="C84" s="16">
        <f t="shared" si="6"/>
        <v>-7308122.7713509826</v>
      </c>
      <c r="D84" s="16">
        <f>IF(A84&lt;=$B$3,PMT(利回り!$F$5/12,利回り!$F$4*12,利回り!$F$2,0),0)</f>
        <v>-109076.45927389535</v>
      </c>
      <c r="E84" s="16">
        <f t="shared" si="7"/>
        <v>-61130.459273895351</v>
      </c>
      <c r="F84" s="16">
        <f t="shared" si="8"/>
        <v>-47946</v>
      </c>
      <c r="G84" s="13">
        <f t="shared" si="9"/>
        <v>14322645.228648975</v>
      </c>
    </row>
    <row r="85" spans="1:7" x14ac:dyDescent="0.45">
      <c r="A85">
        <f t="shared" si="10"/>
        <v>6</v>
      </c>
      <c r="B85">
        <v>68</v>
      </c>
      <c r="C85" s="16">
        <f t="shared" ref="C85:C148" si="11">C84+D84</f>
        <v>-7417199.2306248778</v>
      </c>
      <c r="D85" s="16">
        <f>IF(A85&lt;=$B$3,PMT(利回り!$F$5/12,利回り!$F$4*12,利回り!$F$2,0),0)</f>
        <v>-109076.45927389535</v>
      </c>
      <c r="E85" s="16">
        <f t="shared" ref="E85:E148" si="12">D85-F85</f>
        <v>-61333.459273895351</v>
      </c>
      <c r="F85" s="16">
        <f t="shared" ref="F85:F148" si="13">-ROUNDUP(IF(A85&lt;=$B$3,($B$4/12)*G84,0),0)</f>
        <v>-47743</v>
      </c>
      <c r="G85" s="13">
        <f t="shared" ref="G85:G148" si="14">IF(G84+E85&gt;0,G84+E85,0)</f>
        <v>14261311.76937508</v>
      </c>
    </row>
    <row r="86" spans="1:7" x14ac:dyDescent="0.45">
      <c r="A86">
        <f t="shared" si="10"/>
        <v>6</v>
      </c>
      <c r="B86">
        <v>69</v>
      </c>
      <c r="C86" s="16">
        <f t="shared" si="11"/>
        <v>-7526275.6898987731</v>
      </c>
      <c r="D86" s="16">
        <f>IF(A86&lt;=$B$3,PMT(利回り!$F$5/12,利回り!$F$4*12,利回り!$F$2,0),0)</f>
        <v>-109076.45927389535</v>
      </c>
      <c r="E86" s="16">
        <f t="shared" si="12"/>
        <v>-61538.459273895351</v>
      </c>
      <c r="F86" s="16">
        <f t="shared" si="13"/>
        <v>-47538</v>
      </c>
      <c r="G86" s="13">
        <f t="shared" si="14"/>
        <v>14199773.310101185</v>
      </c>
    </row>
    <row r="87" spans="1:7" x14ac:dyDescent="0.45">
      <c r="A87">
        <f t="shared" si="10"/>
        <v>6</v>
      </c>
      <c r="B87">
        <v>70</v>
      </c>
      <c r="C87" s="16">
        <f t="shared" si="11"/>
        <v>-7635352.1491726683</v>
      </c>
      <c r="D87" s="16">
        <f>IF(A87&lt;=$B$3,PMT(利回り!$F$5/12,利回り!$F$4*12,利回り!$F$2,0),0)</f>
        <v>-109076.45927389535</v>
      </c>
      <c r="E87" s="16">
        <f t="shared" si="12"/>
        <v>-61743.459273895351</v>
      </c>
      <c r="F87" s="16">
        <f t="shared" si="13"/>
        <v>-47333</v>
      </c>
      <c r="G87" s="13">
        <f t="shared" si="14"/>
        <v>14138029.85082729</v>
      </c>
    </row>
    <row r="88" spans="1:7" x14ac:dyDescent="0.45">
      <c r="A88">
        <f t="shared" si="10"/>
        <v>6</v>
      </c>
      <c r="B88">
        <v>71</v>
      </c>
      <c r="C88" s="16">
        <f t="shared" si="11"/>
        <v>-7744428.6084465636</v>
      </c>
      <c r="D88" s="16">
        <f>IF(A88&lt;=$B$3,PMT(利回り!$F$5/12,利回り!$F$4*12,利回り!$F$2,0),0)</f>
        <v>-109076.45927389535</v>
      </c>
      <c r="E88" s="16">
        <f t="shared" si="12"/>
        <v>-61949.459273895351</v>
      </c>
      <c r="F88" s="16">
        <f t="shared" si="13"/>
        <v>-47127</v>
      </c>
      <c r="G88" s="13">
        <f t="shared" si="14"/>
        <v>14076080.391553394</v>
      </c>
    </row>
    <row r="89" spans="1:7" x14ac:dyDescent="0.45">
      <c r="A89">
        <f t="shared" si="10"/>
        <v>6</v>
      </c>
      <c r="B89">
        <v>72</v>
      </c>
      <c r="C89" s="16">
        <f t="shared" si="11"/>
        <v>-7853505.0677204588</v>
      </c>
      <c r="D89" s="16">
        <f>IF(A89&lt;=$B$3,PMT(利回り!$F$5/12,利回り!$F$4*12,利回り!$F$2,0),0)</f>
        <v>-109076.45927389535</v>
      </c>
      <c r="E89" s="16">
        <f t="shared" si="12"/>
        <v>-62155.459273895351</v>
      </c>
      <c r="F89" s="16">
        <f t="shared" si="13"/>
        <v>-46921</v>
      </c>
      <c r="G89" s="13">
        <f t="shared" si="14"/>
        <v>14013924.932279499</v>
      </c>
    </row>
    <row r="90" spans="1:7" x14ac:dyDescent="0.45">
      <c r="A90">
        <f t="shared" si="10"/>
        <v>7</v>
      </c>
      <c r="B90">
        <v>73</v>
      </c>
      <c r="C90" s="16">
        <f t="shared" si="11"/>
        <v>-7962581.5269943541</v>
      </c>
      <c r="D90" s="16">
        <f>IF(A90&lt;=$B$3,PMT(利回り!$F$5/12,利回り!$F$4*12,利回り!$F$2,0),0)</f>
        <v>-109076.45927389535</v>
      </c>
      <c r="E90" s="16">
        <f t="shared" si="12"/>
        <v>-62362.459273895351</v>
      </c>
      <c r="F90" s="16">
        <f t="shared" si="13"/>
        <v>-46714</v>
      </c>
      <c r="G90" s="13">
        <f t="shared" si="14"/>
        <v>13951562.473005604</v>
      </c>
    </row>
    <row r="91" spans="1:7" x14ac:dyDescent="0.45">
      <c r="A91">
        <f t="shared" si="10"/>
        <v>7</v>
      </c>
      <c r="B91">
        <v>74</v>
      </c>
      <c r="C91" s="16">
        <f t="shared" si="11"/>
        <v>-8071657.9862682493</v>
      </c>
      <c r="D91" s="16">
        <f>IF(A91&lt;=$B$3,PMT(利回り!$F$5/12,利回り!$F$4*12,利回り!$F$2,0),0)</f>
        <v>-109076.45927389535</v>
      </c>
      <c r="E91" s="16">
        <f t="shared" si="12"/>
        <v>-62570.459273895351</v>
      </c>
      <c r="F91" s="16">
        <f t="shared" si="13"/>
        <v>-46506</v>
      </c>
      <c r="G91" s="13">
        <f t="shared" si="14"/>
        <v>13888992.013731709</v>
      </c>
    </row>
    <row r="92" spans="1:7" x14ac:dyDescent="0.45">
      <c r="A92">
        <f t="shared" si="10"/>
        <v>7</v>
      </c>
      <c r="B92">
        <v>75</v>
      </c>
      <c r="C92" s="16">
        <f t="shared" si="11"/>
        <v>-8180734.4455421446</v>
      </c>
      <c r="D92" s="16">
        <f>IF(A92&lt;=$B$3,PMT(利回り!$F$5/12,利回り!$F$4*12,利回り!$F$2,0),0)</f>
        <v>-109076.45927389535</v>
      </c>
      <c r="E92" s="16">
        <f t="shared" si="12"/>
        <v>-62779.459273895351</v>
      </c>
      <c r="F92" s="16">
        <f t="shared" si="13"/>
        <v>-46297</v>
      </c>
      <c r="G92" s="13">
        <f t="shared" si="14"/>
        <v>13826212.554457814</v>
      </c>
    </row>
    <row r="93" spans="1:7" x14ac:dyDescent="0.45">
      <c r="A93">
        <f t="shared" si="10"/>
        <v>7</v>
      </c>
      <c r="B93">
        <v>76</v>
      </c>
      <c r="C93" s="16">
        <f t="shared" si="11"/>
        <v>-8289810.9048160398</v>
      </c>
      <c r="D93" s="16">
        <f>IF(A93&lt;=$B$3,PMT(利回り!$F$5/12,利回り!$F$4*12,利回り!$F$2,0),0)</f>
        <v>-109076.45927389535</v>
      </c>
      <c r="E93" s="16">
        <f t="shared" si="12"/>
        <v>-62988.459273895351</v>
      </c>
      <c r="F93" s="16">
        <f t="shared" si="13"/>
        <v>-46088</v>
      </c>
      <c r="G93" s="13">
        <f t="shared" si="14"/>
        <v>13763224.095183918</v>
      </c>
    </row>
    <row r="94" spans="1:7" x14ac:dyDescent="0.45">
      <c r="A94">
        <f t="shared" si="10"/>
        <v>7</v>
      </c>
      <c r="B94">
        <v>77</v>
      </c>
      <c r="C94" s="16">
        <f t="shared" si="11"/>
        <v>-8398887.364089936</v>
      </c>
      <c r="D94" s="16">
        <f>IF(A94&lt;=$B$3,PMT(利回り!$F$5/12,利回り!$F$4*12,利回り!$F$2,0),0)</f>
        <v>-109076.45927389535</v>
      </c>
      <c r="E94" s="16">
        <f t="shared" si="12"/>
        <v>-63198.459273895351</v>
      </c>
      <c r="F94" s="16">
        <f t="shared" si="13"/>
        <v>-45878</v>
      </c>
      <c r="G94" s="13">
        <f t="shared" si="14"/>
        <v>13700025.635910023</v>
      </c>
    </row>
    <row r="95" spans="1:7" x14ac:dyDescent="0.45">
      <c r="A95">
        <f t="shared" si="10"/>
        <v>7</v>
      </c>
      <c r="B95">
        <v>78</v>
      </c>
      <c r="C95" s="16">
        <f t="shared" si="11"/>
        <v>-8507963.8233638313</v>
      </c>
      <c r="D95" s="16">
        <f>IF(A95&lt;=$B$3,PMT(利回り!$F$5/12,利回り!$F$4*12,利回り!$F$2,0),0)</f>
        <v>-109076.45927389535</v>
      </c>
      <c r="E95" s="16">
        <f t="shared" si="12"/>
        <v>-63409.459273895351</v>
      </c>
      <c r="F95" s="16">
        <f t="shared" si="13"/>
        <v>-45667</v>
      </c>
      <c r="G95" s="13">
        <f t="shared" si="14"/>
        <v>13636616.176636128</v>
      </c>
    </row>
    <row r="96" spans="1:7" x14ac:dyDescent="0.45">
      <c r="A96">
        <f t="shared" si="10"/>
        <v>7</v>
      </c>
      <c r="B96">
        <v>79</v>
      </c>
      <c r="C96" s="16">
        <f t="shared" si="11"/>
        <v>-8617040.2826377265</v>
      </c>
      <c r="D96" s="16">
        <f>IF(A96&lt;=$B$3,PMT(利回り!$F$5/12,利回り!$F$4*12,利回り!$F$2,0),0)</f>
        <v>-109076.45927389535</v>
      </c>
      <c r="E96" s="16">
        <f t="shared" si="12"/>
        <v>-63620.459273895351</v>
      </c>
      <c r="F96" s="16">
        <f t="shared" si="13"/>
        <v>-45456</v>
      </c>
      <c r="G96" s="13">
        <f t="shared" si="14"/>
        <v>13572995.717362233</v>
      </c>
    </row>
    <row r="97" spans="1:7" x14ac:dyDescent="0.45">
      <c r="A97">
        <f t="shared" si="10"/>
        <v>7</v>
      </c>
      <c r="B97">
        <v>80</v>
      </c>
      <c r="C97" s="16">
        <f t="shared" si="11"/>
        <v>-8726116.7419116218</v>
      </c>
      <c r="D97" s="16">
        <f>IF(A97&lt;=$B$3,PMT(利回り!$F$5/12,利回り!$F$4*12,利回り!$F$2,0),0)</f>
        <v>-109076.45927389535</v>
      </c>
      <c r="E97" s="16">
        <f t="shared" si="12"/>
        <v>-63832.459273895351</v>
      </c>
      <c r="F97" s="16">
        <f t="shared" si="13"/>
        <v>-45244</v>
      </c>
      <c r="G97" s="13">
        <f t="shared" si="14"/>
        <v>13509163.258088337</v>
      </c>
    </row>
    <row r="98" spans="1:7" x14ac:dyDescent="0.45">
      <c r="A98">
        <f t="shared" si="10"/>
        <v>7</v>
      </c>
      <c r="B98">
        <v>81</v>
      </c>
      <c r="C98" s="16">
        <f t="shared" si="11"/>
        <v>-8835193.201185517</v>
      </c>
      <c r="D98" s="16">
        <f>IF(A98&lt;=$B$3,PMT(利回り!$F$5/12,利回り!$F$4*12,利回り!$F$2,0),0)</f>
        <v>-109076.45927389535</v>
      </c>
      <c r="E98" s="16">
        <f t="shared" si="12"/>
        <v>-64045.459273895351</v>
      </c>
      <c r="F98" s="16">
        <f t="shared" si="13"/>
        <v>-45031</v>
      </c>
      <c r="G98" s="13">
        <f t="shared" si="14"/>
        <v>13445117.798814442</v>
      </c>
    </row>
    <row r="99" spans="1:7" x14ac:dyDescent="0.45">
      <c r="A99">
        <f t="shared" si="10"/>
        <v>7</v>
      </c>
      <c r="B99">
        <v>82</v>
      </c>
      <c r="C99" s="16">
        <f t="shared" si="11"/>
        <v>-8944269.6604594123</v>
      </c>
      <c r="D99" s="16">
        <f>IF(A99&lt;=$B$3,PMT(利回り!$F$5/12,利回り!$F$4*12,利回り!$F$2,0),0)</f>
        <v>-109076.45927389535</v>
      </c>
      <c r="E99" s="16">
        <f t="shared" si="12"/>
        <v>-64258.459273895351</v>
      </c>
      <c r="F99" s="16">
        <f t="shared" si="13"/>
        <v>-44818</v>
      </c>
      <c r="G99" s="13">
        <f t="shared" si="14"/>
        <v>13380859.339540547</v>
      </c>
    </row>
    <row r="100" spans="1:7" x14ac:dyDescent="0.45">
      <c r="A100">
        <f t="shared" si="10"/>
        <v>7</v>
      </c>
      <c r="B100">
        <v>83</v>
      </c>
      <c r="C100" s="16">
        <f t="shared" si="11"/>
        <v>-9053346.1197333075</v>
      </c>
      <c r="D100" s="16">
        <f>IF(A100&lt;=$B$3,PMT(利回り!$F$5/12,利回り!$F$4*12,利回り!$F$2,0),0)</f>
        <v>-109076.45927389535</v>
      </c>
      <c r="E100" s="16">
        <f t="shared" si="12"/>
        <v>-64473.459273895351</v>
      </c>
      <c r="F100" s="16">
        <f t="shared" si="13"/>
        <v>-44603</v>
      </c>
      <c r="G100" s="13">
        <f t="shared" si="14"/>
        <v>13316385.880266652</v>
      </c>
    </row>
    <row r="101" spans="1:7" x14ac:dyDescent="0.45">
      <c r="A101">
        <f t="shared" si="10"/>
        <v>7</v>
      </c>
      <c r="B101">
        <v>84</v>
      </c>
      <c r="C101" s="16">
        <f t="shared" si="11"/>
        <v>-9162422.5790072028</v>
      </c>
      <c r="D101" s="16">
        <f>IF(A101&lt;=$B$3,PMT(利回り!$F$5/12,利回り!$F$4*12,利回り!$F$2,0),0)</f>
        <v>-109076.45927389535</v>
      </c>
      <c r="E101" s="16">
        <f t="shared" si="12"/>
        <v>-64688.459273895351</v>
      </c>
      <c r="F101" s="16">
        <f t="shared" si="13"/>
        <v>-44388</v>
      </c>
      <c r="G101" s="13">
        <f t="shared" si="14"/>
        <v>13251697.420992756</v>
      </c>
    </row>
    <row r="102" spans="1:7" x14ac:dyDescent="0.45">
      <c r="A102">
        <f t="shared" si="10"/>
        <v>8</v>
      </c>
      <c r="B102">
        <v>85</v>
      </c>
      <c r="C102" s="16">
        <f t="shared" si="11"/>
        <v>-9271499.038281098</v>
      </c>
      <c r="D102" s="16">
        <f>IF(A102&lt;=$B$3,PMT(利回り!$F$5/12,利回り!$F$4*12,利回り!$F$2,0),0)</f>
        <v>-109076.45927389535</v>
      </c>
      <c r="E102" s="16">
        <f t="shared" si="12"/>
        <v>-64903.459273895351</v>
      </c>
      <c r="F102" s="16">
        <f t="shared" si="13"/>
        <v>-44173</v>
      </c>
      <c r="G102" s="13">
        <f t="shared" si="14"/>
        <v>13186793.961718861</v>
      </c>
    </row>
    <row r="103" spans="1:7" x14ac:dyDescent="0.45">
      <c r="A103">
        <f t="shared" si="10"/>
        <v>8</v>
      </c>
      <c r="B103">
        <v>86</v>
      </c>
      <c r="C103" s="16">
        <f t="shared" si="11"/>
        <v>-9380575.4975549933</v>
      </c>
      <c r="D103" s="16">
        <f>IF(A103&lt;=$B$3,PMT(利回り!$F$5/12,利回り!$F$4*12,利回り!$F$2,0),0)</f>
        <v>-109076.45927389535</v>
      </c>
      <c r="E103" s="16">
        <f t="shared" si="12"/>
        <v>-65120.459273895351</v>
      </c>
      <c r="F103" s="16">
        <f t="shared" si="13"/>
        <v>-43956</v>
      </c>
      <c r="G103" s="13">
        <f t="shared" si="14"/>
        <v>13121673.502444966</v>
      </c>
    </row>
    <row r="104" spans="1:7" x14ac:dyDescent="0.45">
      <c r="A104">
        <f t="shared" si="10"/>
        <v>8</v>
      </c>
      <c r="B104">
        <v>87</v>
      </c>
      <c r="C104" s="16">
        <f t="shared" si="11"/>
        <v>-9489651.9568288885</v>
      </c>
      <c r="D104" s="16">
        <f>IF(A104&lt;=$B$3,PMT(利回り!$F$5/12,利回り!$F$4*12,利回り!$F$2,0),0)</f>
        <v>-109076.45927389535</v>
      </c>
      <c r="E104" s="16">
        <f t="shared" si="12"/>
        <v>-65337.459273895351</v>
      </c>
      <c r="F104" s="16">
        <f t="shared" si="13"/>
        <v>-43739</v>
      </c>
      <c r="G104" s="13">
        <f t="shared" si="14"/>
        <v>13056336.043171071</v>
      </c>
    </row>
    <row r="105" spans="1:7" x14ac:dyDescent="0.45">
      <c r="A105">
        <f t="shared" si="10"/>
        <v>8</v>
      </c>
      <c r="B105">
        <v>88</v>
      </c>
      <c r="C105" s="16">
        <f t="shared" si="11"/>
        <v>-9598728.4161027838</v>
      </c>
      <c r="D105" s="16">
        <f>IF(A105&lt;=$B$3,PMT(利回り!$F$5/12,利回り!$F$4*12,利回り!$F$2,0),0)</f>
        <v>-109076.45927389535</v>
      </c>
      <c r="E105" s="16">
        <f t="shared" si="12"/>
        <v>-65554.459273895351</v>
      </c>
      <c r="F105" s="16">
        <f t="shared" si="13"/>
        <v>-43522</v>
      </c>
      <c r="G105" s="13">
        <f t="shared" si="14"/>
        <v>12990781.583897175</v>
      </c>
    </row>
    <row r="106" spans="1:7" x14ac:dyDescent="0.45">
      <c r="A106">
        <f t="shared" si="10"/>
        <v>8</v>
      </c>
      <c r="B106">
        <v>89</v>
      </c>
      <c r="C106" s="16">
        <f t="shared" si="11"/>
        <v>-9707804.875376679</v>
      </c>
      <c r="D106" s="16">
        <f>IF(A106&lt;=$B$3,PMT(利回り!$F$5/12,利回り!$F$4*12,利回り!$F$2,0),0)</f>
        <v>-109076.45927389535</v>
      </c>
      <c r="E106" s="16">
        <f t="shared" si="12"/>
        <v>-65773.459273895351</v>
      </c>
      <c r="F106" s="16">
        <f t="shared" si="13"/>
        <v>-43303</v>
      </c>
      <c r="G106" s="13">
        <f t="shared" si="14"/>
        <v>12925008.12462328</v>
      </c>
    </row>
    <row r="107" spans="1:7" x14ac:dyDescent="0.45">
      <c r="A107">
        <f t="shared" si="10"/>
        <v>8</v>
      </c>
      <c r="B107">
        <v>90</v>
      </c>
      <c r="C107" s="16">
        <f t="shared" si="11"/>
        <v>-9816881.3346505743</v>
      </c>
      <c r="D107" s="16">
        <f>IF(A107&lt;=$B$3,PMT(利回り!$F$5/12,利回り!$F$4*12,利回り!$F$2,0),0)</f>
        <v>-109076.45927389535</v>
      </c>
      <c r="E107" s="16">
        <f t="shared" si="12"/>
        <v>-65992.459273895351</v>
      </c>
      <c r="F107" s="16">
        <f t="shared" si="13"/>
        <v>-43084</v>
      </c>
      <c r="G107" s="13">
        <f t="shared" si="14"/>
        <v>12859015.665349385</v>
      </c>
    </row>
    <row r="108" spans="1:7" x14ac:dyDescent="0.45">
      <c r="A108">
        <f t="shared" si="10"/>
        <v>8</v>
      </c>
      <c r="B108">
        <v>91</v>
      </c>
      <c r="C108" s="16">
        <f t="shared" si="11"/>
        <v>-9925957.7939244695</v>
      </c>
      <c r="D108" s="16">
        <f>IF(A108&lt;=$B$3,PMT(利回り!$F$5/12,利回り!$F$4*12,利回り!$F$2,0),0)</f>
        <v>-109076.45927389535</v>
      </c>
      <c r="E108" s="16">
        <f t="shared" si="12"/>
        <v>-66212.459273895351</v>
      </c>
      <c r="F108" s="16">
        <f t="shared" si="13"/>
        <v>-42864</v>
      </c>
      <c r="G108" s="13">
        <f t="shared" si="14"/>
        <v>12792803.20607549</v>
      </c>
    </row>
    <row r="109" spans="1:7" x14ac:dyDescent="0.45">
      <c r="A109">
        <f t="shared" si="10"/>
        <v>8</v>
      </c>
      <c r="B109">
        <v>92</v>
      </c>
      <c r="C109" s="16">
        <f t="shared" si="11"/>
        <v>-10035034.253198365</v>
      </c>
      <c r="D109" s="16">
        <f>IF(A109&lt;=$B$3,PMT(利回り!$F$5/12,利回り!$F$4*12,利回り!$F$2,0),0)</f>
        <v>-109076.45927389535</v>
      </c>
      <c r="E109" s="16">
        <f t="shared" si="12"/>
        <v>-66433.459273895351</v>
      </c>
      <c r="F109" s="16">
        <f t="shared" si="13"/>
        <v>-42643</v>
      </c>
      <c r="G109" s="13">
        <f t="shared" si="14"/>
        <v>12726369.746801594</v>
      </c>
    </row>
    <row r="110" spans="1:7" x14ac:dyDescent="0.45">
      <c r="A110">
        <f t="shared" si="10"/>
        <v>8</v>
      </c>
      <c r="B110">
        <v>93</v>
      </c>
      <c r="C110" s="16">
        <f t="shared" si="11"/>
        <v>-10144110.71247226</v>
      </c>
      <c r="D110" s="16">
        <f>IF(A110&lt;=$B$3,PMT(利回り!$F$5/12,利回り!$F$4*12,利回り!$F$2,0),0)</f>
        <v>-109076.45927389535</v>
      </c>
      <c r="E110" s="16">
        <f t="shared" si="12"/>
        <v>-66654.459273895351</v>
      </c>
      <c r="F110" s="16">
        <f t="shared" si="13"/>
        <v>-42422</v>
      </c>
      <c r="G110" s="13">
        <f t="shared" si="14"/>
        <v>12659715.287527699</v>
      </c>
    </row>
    <row r="111" spans="1:7" x14ac:dyDescent="0.45">
      <c r="A111">
        <f t="shared" si="10"/>
        <v>8</v>
      </c>
      <c r="B111">
        <v>94</v>
      </c>
      <c r="C111" s="16">
        <f t="shared" si="11"/>
        <v>-10253187.171746155</v>
      </c>
      <c r="D111" s="16">
        <f>IF(A111&lt;=$B$3,PMT(利回り!$F$5/12,利回り!$F$4*12,利回り!$F$2,0),0)</f>
        <v>-109076.45927389535</v>
      </c>
      <c r="E111" s="16">
        <f t="shared" si="12"/>
        <v>-66876.459273895351</v>
      </c>
      <c r="F111" s="16">
        <f t="shared" si="13"/>
        <v>-42200</v>
      </c>
      <c r="G111" s="13">
        <f t="shared" si="14"/>
        <v>12592838.828253804</v>
      </c>
    </row>
    <row r="112" spans="1:7" x14ac:dyDescent="0.45">
      <c r="A112">
        <f t="shared" si="10"/>
        <v>8</v>
      </c>
      <c r="B112">
        <v>95</v>
      </c>
      <c r="C112" s="16">
        <f t="shared" si="11"/>
        <v>-10362263.63102005</v>
      </c>
      <c r="D112" s="16">
        <f>IF(A112&lt;=$B$3,PMT(利回り!$F$5/12,利回り!$F$4*12,利回り!$F$2,0),0)</f>
        <v>-109076.45927389535</v>
      </c>
      <c r="E112" s="16">
        <f t="shared" si="12"/>
        <v>-67099.459273895351</v>
      </c>
      <c r="F112" s="16">
        <f t="shared" si="13"/>
        <v>-41977</v>
      </c>
      <c r="G112" s="13">
        <f t="shared" si="14"/>
        <v>12525739.368979909</v>
      </c>
    </row>
    <row r="113" spans="1:7" x14ac:dyDescent="0.45">
      <c r="A113">
        <f t="shared" si="10"/>
        <v>8</v>
      </c>
      <c r="B113">
        <v>96</v>
      </c>
      <c r="C113" s="16">
        <f t="shared" si="11"/>
        <v>-10471340.090293946</v>
      </c>
      <c r="D113" s="16">
        <f>IF(A113&lt;=$B$3,PMT(利回り!$F$5/12,利回り!$F$4*12,利回り!$F$2,0),0)</f>
        <v>-109076.45927389535</v>
      </c>
      <c r="E113" s="16">
        <f t="shared" si="12"/>
        <v>-67323.459273895351</v>
      </c>
      <c r="F113" s="16">
        <f t="shared" si="13"/>
        <v>-41753</v>
      </c>
      <c r="G113" s="13">
        <f t="shared" si="14"/>
        <v>12458415.909706013</v>
      </c>
    </row>
    <row r="114" spans="1:7" x14ac:dyDescent="0.45">
      <c r="A114">
        <f t="shared" si="10"/>
        <v>9</v>
      </c>
      <c r="B114">
        <v>97</v>
      </c>
      <c r="C114" s="16">
        <f t="shared" si="11"/>
        <v>-10580416.549567841</v>
      </c>
      <c r="D114" s="16">
        <f>IF(A114&lt;=$B$3,PMT(利回り!$F$5/12,利回り!$F$4*12,利回り!$F$2,0),0)</f>
        <v>-109076.45927389535</v>
      </c>
      <c r="E114" s="16">
        <f t="shared" si="12"/>
        <v>-67547.459273895351</v>
      </c>
      <c r="F114" s="16">
        <f t="shared" si="13"/>
        <v>-41529</v>
      </c>
      <c r="G114" s="13">
        <f t="shared" si="14"/>
        <v>12390868.450432118</v>
      </c>
    </row>
    <row r="115" spans="1:7" x14ac:dyDescent="0.45">
      <c r="A115">
        <f t="shared" si="10"/>
        <v>9</v>
      </c>
      <c r="B115">
        <v>98</v>
      </c>
      <c r="C115" s="16">
        <f t="shared" si="11"/>
        <v>-10689493.008841736</v>
      </c>
      <c r="D115" s="16">
        <f>IF(A115&lt;=$B$3,PMT(利回り!$F$5/12,利回り!$F$4*12,利回り!$F$2,0),0)</f>
        <v>-109076.45927389535</v>
      </c>
      <c r="E115" s="16">
        <f t="shared" si="12"/>
        <v>-67773.459273895351</v>
      </c>
      <c r="F115" s="16">
        <f t="shared" si="13"/>
        <v>-41303</v>
      </c>
      <c r="G115" s="13">
        <f t="shared" si="14"/>
        <v>12323094.991158223</v>
      </c>
    </row>
    <row r="116" spans="1:7" x14ac:dyDescent="0.45">
      <c r="A116">
        <f t="shared" si="10"/>
        <v>9</v>
      </c>
      <c r="B116">
        <v>99</v>
      </c>
      <c r="C116" s="16">
        <f t="shared" si="11"/>
        <v>-10798569.468115631</v>
      </c>
      <c r="D116" s="16">
        <f>IF(A116&lt;=$B$3,PMT(利回り!$F$5/12,利回り!$F$4*12,利回り!$F$2,0),0)</f>
        <v>-109076.45927389535</v>
      </c>
      <c r="E116" s="16">
        <f t="shared" si="12"/>
        <v>-67999.459273895351</v>
      </c>
      <c r="F116" s="16">
        <f t="shared" si="13"/>
        <v>-41077</v>
      </c>
      <c r="G116" s="13">
        <f t="shared" si="14"/>
        <v>12255095.531884328</v>
      </c>
    </row>
    <row r="117" spans="1:7" x14ac:dyDescent="0.45">
      <c r="A117">
        <f t="shared" si="10"/>
        <v>9</v>
      </c>
      <c r="B117">
        <v>100</v>
      </c>
      <c r="C117" s="16">
        <f t="shared" si="11"/>
        <v>-10907645.927389527</v>
      </c>
      <c r="D117" s="16">
        <f>IF(A117&lt;=$B$3,PMT(利回り!$F$5/12,利回り!$F$4*12,利回り!$F$2,0),0)</f>
        <v>-109076.45927389535</v>
      </c>
      <c r="E117" s="16">
        <f t="shared" si="12"/>
        <v>-68225.459273895351</v>
      </c>
      <c r="F117" s="16">
        <f t="shared" si="13"/>
        <v>-40851</v>
      </c>
      <c r="G117" s="13">
        <f t="shared" si="14"/>
        <v>12186870.072610432</v>
      </c>
    </row>
    <row r="118" spans="1:7" x14ac:dyDescent="0.45">
      <c r="A118">
        <f t="shared" si="10"/>
        <v>9</v>
      </c>
      <c r="B118">
        <v>101</v>
      </c>
      <c r="C118" s="16">
        <f t="shared" si="11"/>
        <v>-11016722.386663422</v>
      </c>
      <c r="D118" s="16">
        <f>IF(A118&lt;=$B$3,PMT(利回り!$F$5/12,利回り!$F$4*12,利回り!$F$2,0),0)</f>
        <v>-109076.45927389535</v>
      </c>
      <c r="E118" s="16">
        <f t="shared" si="12"/>
        <v>-68453.459273895351</v>
      </c>
      <c r="F118" s="16">
        <f t="shared" si="13"/>
        <v>-40623</v>
      </c>
      <c r="G118" s="13">
        <f t="shared" si="14"/>
        <v>12118416.613336537</v>
      </c>
    </row>
    <row r="119" spans="1:7" x14ac:dyDescent="0.45">
      <c r="A119">
        <f t="shared" si="10"/>
        <v>9</v>
      </c>
      <c r="B119">
        <v>102</v>
      </c>
      <c r="C119" s="16">
        <f t="shared" si="11"/>
        <v>-11125798.845937317</v>
      </c>
      <c r="D119" s="16">
        <f>IF(A119&lt;=$B$3,PMT(利回り!$F$5/12,利回り!$F$4*12,利回り!$F$2,0),0)</f>
        <v>-109076.45927389535</v>
      </c>
      <c r="E119" s="16">
        <f t="shared" si="12"/>
        <v>-68681.459273895351</v>
      </c>
      <c r="F119" s="16">
        <f t="shared" si="13"/>
        <v>-40395</v>
      </c>
      <c r="G119" s="13">
        <f t="shared" si="14"/>
        <v>12049735.154062642</v>
      </c>
    </row>
    <row r="120" spans="1:7" x14ac:dyDescent="0.45">
      <c r="A120">
        <f t="shared" si="10"/>
        <v>9</v>
      </c>
      <c r="B120">
        <v>103</v>
      </c>
      <c r="C120" s="16">
        <f t="shared" si="11"/>
        <v>-11234875.305211212</v>
      </c>
      <c r="D120" s="16">
        <f>IF(A120&lt;=$B$3,PMT(利回り!$F$5/12,利回り!$F$4*12,利回り!$F$2,0),0)</f>
        <v>-109076.45927389535</v>
      </c>
      <c r="E120" s="16">
        <f t="shared" si="12"/>
        <v>-68910.459273895351</v>
      </c>
      <c r="F120" s="16">
        <f t="shared" si="13"/>
        <v>-40166</v>
      </c>
      <c r="G120" s="13">
        <f t="shared" si="14"/>
        <v>11980824.694788747</v>
      </c>
    </row>
    <row r="121" spans="1:7" x14ac:dyDescent="0.45">
      <c r="A121">
        <f t="shared" si="10"/>
        <v>9</v>
      </c>
      <c r="B121">
        <v>104</v>
      </c>
      <c r="C121" s="16">
        <f t="shared" si="11"/>
        <v>-11343951.764485108</v>
      </c>
      <c r="D121" s="16">
        <f>IF(A121&lt;=$B$3,PMT(利回り!$F$5/12,利回り!$F$4*12,利回り!$F$2,0),0)</f>
        <v>-109076.45927389535</v>
      </c>
      <c r="E121" s="16">
        <f t="shared" si="12"/>
        <v>-69139.459273895351</v>
      </c>
      <c r="F121" s="16">
        <f t="shared" si="13"/>
        <v>-39937</v>
      </c>
      <c r="G121" s="13">
        <f t="shared" si="14"/>
        <v>11911685.235514851</v>
      </c>
    </row>
    <row r="122" spans="1:7" x14ac:dyDescent="0.45">
      <c r="A122">
        <f t="shared" si="10"/>
        <v>9</v>
      </c>
      <c r="B122">
        <v>105</v>
      </c>
      <c r="C122" s="16">
        <f t="shared" si="11"/>
        <v>-11453028.223759003</v>
      </c>
      <c r="D122" s="16">
        <f>IF(A122&lt;=$B$3,PMT(利回り!$F$5/12,利回り!$F$4*12,利回り!$F$2,0),0)</f>
        <v>-109076.45927389535</v>
      </c>
      <c r="E122" s="16">
        <f t="shared" si="12"/>
        <v>-69370.459273895351</v>
      </c>
      <c r="F122" s="16">
        <f t="shared" si="13"/>
        <v>-39706</v>
      </c>
      <c r="G122" s="13">
        <f t="shared" si="14"/>
        <v>11842314.776240956</v>
      </c>
    </row>
    <row r="123" spans="1:7" x14ac:dyDescent="0.45">
      <c r="A123">
        <f t="shared" si="10"/>
        <v>9</v>
      </c>
      <c r="B123">
        <v>106</v>
      </c>
      <c r="C123" s="16">
        <f t="shared" si="11"/>
        <v>-11562104.683032898</v>
      </c>
      <c r="D123" s="16">
        <f>IF(A123&lt;=$B$3,PMT(利回り!$F$5/12,利回り!$F$4*12,利回り!$F$2,0),0)</f>
        <v>-109076.45927389535</v>
      </c>
      <c r="E123" s="16">
        <f t="shared" si="12"/>
        <v>-69601.459273895351</v>
      </c>
      <c r="F123" s="16">
        <f t="shared" si="13"/>
        <v>-39475</v>
      </c>
      <c r="G123" s="13">
        <f t="shared" si="14"/>
        <v>11772713.316967061</v>
      </c>
    </row>
    <row r="124" spans="1:7" x14ac:dyDescent="0.45">
      <c r="A124">
        <f t="shared" si="10"/>
        <v>9</v>
      </c>
      <c r="B124">
        <v>107</v>
      </c>
      <c r="C124" s="16">
        <f t="shared" si="11"/>
        <v>-11671181.142306793</v>
      </c>
      <c r="D124" s="16">
        <f>IF(A124&lt;=$B$3,PMT(利回り!$F$5/12,利回り!$F$4*12,利回り!$F$2,0),0)</f>
        <v>-109076.45927389535</v>
      </c>
      <c r="E124" s="16">
        <f t="shared" si="12"/>
        <v>-69833.459273895351</v>
      </c>
      <c r="F124" s="16">
        <f t="shared" si="13"/>
        <v>-39243</v>
      </c>
      <c r="G124" s="13">
        <f t="shared" si="14"/>
        <v>11702879.857693166</v>
      </c>
    </row>
    <row r="125" spans="1:7" x14ac:dyDescent="0.45">
      <c r="A125">
        <f t="shared" si="10"/>
        <v>9</v>
      </c>
      <c r="B125">
        <v>108</v>
      </c>
      <c r="C125" s="16">
        <f t="shared" si="11"/>
        <v>-11780257.601580689</v>
      </c>
      <c r="D125" s="16">
        <f>IF(A125&lt;=$B$3,PMT(利回り!$F$5/12,利回り!$F$4*12,利回り!$F$2,0),0)</f>
        <v>-109076.45927389535</v>
      </c>
      <c r="E125" s="16">
        <f t="shared" si="12"/>
        <v>-70066.459273895351</v>
      </c>
      <c r="F125" s="16">
        <f t="shared" si="13"/>
        <v>-39010</v>
      </c>
      <c r="G125" s="13">
        <f t="shared" si="14"/>
        <v>11632813.39841927</v>
      </c>
    </row>
    <row r="126" spans="1:7" x14ac:dyDescent="0.45">
      <c r="A126">
        <f t="shared" si="10"/>
        <v>10</v>
      </c>
      <c r="B126">
        <v>109</v>
      </c>
      <c r="C126" s="16">
        <f t="shared" si="11"/>
        <v>-11889334.060854584</v>
      </c>
      <c r="D126" s="16">
        <f>IF(A126&lt;=$B$3,PMT(利回り!$F$5/12,利回り!$F$4*12,利回り!$F$2,0),0)</f>
        <v>-109076.45927389535</v>
      </c>
      <c r="E126" s="16">
        <f t="shared" si="12"/>
        <v>-70299.459273895351</v>
      </c>
      <c r="F126" s="16">
        <f t="shared" si="13"/>
        <v>-38777</v>
      </c>
      <c r="G126" s="13">
        <f t="shared" si="14"/>
        <v>11562513.939145375</v>
      </c>
    </row>
    <row r="127" spans="1:7" x14ac:dyDescent="0.45">
      <c r="A127">
        <f t="shared" si="10"/>
        <v>10</v>
      </c>
      <c r="B127">
        <v>110</v>
      </c>
      <c r="C127" s="16">
        <f t="shared" si="11"/>
        <v>-11998410.520128479</v>
      </c>
      <c r="D127" s="16">
        <f>IF(A127&lt;=$B$3,PMT(利回り!$F$5/12,利回り!$F$4*12,利回り!$F$2,0),0)</f>
        <v>-109076.45927389535</v>
      </c>
      <c r="E127" s="16">
        <f t="shared" si="12"/>
        <v>-70534.459273895351</v>
      </c>
      <c r="F127" s="16">
        <f t="shared" si="13"/>
        <v>-38542</v>
      </c>
      <c r="G127" s="13">
        <f t="shared" si="14"/>
        <v>11491979.47987148</v>
      </c>
    </row>
    <row r="128" spans="1:7" x14ac:dyDescent="0.45">
      <c r="A128">
        <f t="shared" si="10"/>
        <v>10</v>
      </c>
      <c r="B128">
        <v>111</v>
      </c>
      <c r="C128" s="16">
        <f t="shared" si="11"/>
        <v>-12107486.979402374</v>
      </c>
      <c r="D128" s="16">
        <f>IF(A128&lt;=$B$3,PMT(利回り!$F$5/12,利回り!$F$4*12,利回り!$F$2,0),0)</f>
        <v>-109076.45927389535</v>
      </c>
      <c r="E128" s="16">
        <f t="shared" si="12"/>
        <v>-70769.459273895351</v>
      </c>
      <c r="F128" s="16">
        <f t="shared" si="13"/>
        <v>-38307</v>
      </c>
      <c r="G128" s="13">
        <f t="shared" si="14"/>
        <v>11421210.020597585</v>
      </c>
    </row>
    <row r="129" spans="1:7" x14ac:dyDescent="0.45">
      <c r="A129">
        <f t="shared" si="10"/>
        <v>10</v>
      </c>
      <c r="B129">
        <v>112</v>
      </c>
      <c r="C129" s="16">
        <f t="shared" si="11"/>
        <v>-12216563.43867627</v>
      </c>
      <c r="D129" s="16">
        <f>IF(A129&lt;=$B$3,PMT(利回り!$F$5/12,利回り!$F$4*12,利回り!$F$2,0),0)</f>
        <v>-109076.45927389535</v>
      </c>
      <c r="E129" s="16">
        <f t="shared" si="12"/>
        <v>-71005.459273895351</v>
      </c>
      <c r="F129" s="16">
        <f t="shared" si="13"/>
        <v>-38071</v>
      </c>
      <c r="G129" s="13">
        <f t="shared" si="14"/>
        <v>11350204.561323689</v>
      </c>
    </row>
    <row r="130" spans="1:7" x14ac:dyDescent="0.45">
      <c r="A130">
        <f t="shared" si="10"/>
        <v>10</v>
      </c>
      <c r="B130">
        <v>113</v>
      </c>
      <c r="C130" s="16">
        <f t="shared" si="11"/>
        <v>-12325639.897950165</v>
      </c>
      <c r="D130" s="16">
        <f>IF(A130&lt;=$B$3,PMT(利回り!$F$5/12,利回り!$F$4*12,利回り!$F$2,0),0)</f>
        <v>-109076.45927389535</v>
      </c>
      <c r="E130" s="16">
        <f t="shared" si="12"/>
        <v>-71241.459273895351</v>
      </c>
      <c r="F130" s="16">
        <f t="shared" si="13"/>
        <v>-37835</v>
      </c>
      <c r="G130" s="13">
        <f t="shared" si="14"/>
        <v>11278963.102049794</v>
      </c>
    </row>
    <row r="131" spans="1:7" x14ac:dyDescent="0.45">
      <c r="A131">
        <f t="shared" si="10"/>
        <v>10</v>
      </c>
      <c r="B131">
        <v>114</v>
      </c>
      <c r="C131" s="16">
        <f t="shared" si="11"/>
        <v>-12434716.35722406</v>
      </c>
      <c r="D131" s="16">
        <f>IF(A131&lt;=$B$3,PMT(利回り!$F$5/12,利回り!$F$4*12,利回り!$F$2,0),0)</f>
        <v>-109076.45927389535</v>
      </c>
      <c r="E131" s="16">
        <f t="shared" si="12"/>
        <v>-71479.459273895351</v>
      </c>
      <c r="F131" s="16">
        <f t="shared" si="13"/>
        <v>-37597</v>
      </c>
      <c r="G131" s="13">
        <f t="shared" si="14"/>
        <v>11207483.642775899</v>
      </c>
    </row>
    <row r="132" spans="1:7" x14ac:dyDescent="0.45">
      <c r="A132">
        <f t="shared" si="10"/>
        <v>10</v>
      </c>
      <c r="B132">
        <v>115</v>
      </c>
      <c r="C132" s="16">
        <f t="shared" si="11"/>
        <v>-12543792.816497955</v>
      </c>
      <c r="D132" s="16">
        <f>IF(A132&lt;=$B$3,PMT(利回り!$F$5/12,利回り!$F$4*12,利回り!$F$2,0),0)</f>
        <v>-109076.45927389535</v>
      </c>
      <c r="E132" s="16">
        <f t="shared" si="12"/>
        <v>-71717.459273895351</v>
      </c>
      <c r="F132" s="16">
        <f t="shared" si="13"/>
        <v>-37359</v>
      </c>
      <c r="G132" s="13">
        <f t="shared" si="14"/>
        <v>11135766.183502004</v>
      </c>
    </row>
    <row r="133" spans="1:7" x14ac:dyDescent="0.45">
      <c r="A133">
        <f t="shared" si="10"/>
        <v>10</v>
      </c>
      <c r="B133">
        <v>116</v>
      </c>
      <c r="C133" s="16">
        <f t="shared" si="11"/>
        <v>-12652869.275771851</v>
      </c>
      <c r="D133" s="16">
        <f>IF(A133&lt;=$B$3,PMT(利回り!$F$5/12,利回り!$F$4*12,利回り!$F$2,0),0)</f>
        <v>-109076.45927389535</v>
      </c>
      <c r="E133" s="16">
        <f t="shared" si="12"/>
        <v>-71956.459273895351</v>
      </c>
      <c r="F133" s="16">
        <f t="shared" si="13"/>
        <v>-37120</v>
      </c>
      <c r="G133" s="13">
        <f t="shared" si="14"/>
        <v>11063809.724228108</v>
      </c>
    </row>
    <row r="134" spans="1:7" x14ac:dyDescent="0.45">
      <c r="A134">
        <f t="shared" si="10"/>
        <v>10</v>
      </c>
      <c r="B134">
        <v>117</v>
      </c>
      <c r="C134" s="16">
        <f t="shared" si="11"/>
        <v>-12761945.735045746</v>
      </c>
      <c r="D134" s="16">
        <f>IF(A134&lt;=$B$3,PMT(利回り!$F$5/12,利回り!$F$4*12,利回り!$F$2,0),0)</f>
        <v>-109076.45927389535</v>
      </c>
      <c r="E134" s="16">
        <f t="shared" si="12"/>
        <v>-72196.459273895351</v>
      </c>
      <c r="F134" s="16">
        <f t="shared" si="13"/>
        <v>-36880</v>
      </c>
      <c r="G134" s="13">
        <f t="shared" si="14"/>
        <v>10991613.264954213</v>
      </c>
    </row>
    <row r="135" spans="1:7" x14ac:dyDescent="0.45">
      <c r="A135">
        <f t="shared" si="10"/>
        <v>10</v>
      </c>
      <c r="B135">
        <v>118</v>
      </c>
      <c r="C135" s="16">
        <f t="shared" si="11"/>
        <v>-12871022.194319641</v>
      </c>
      <c r="D135" s="16">
        <f>IF(A135&lt;=$B$3,PMT(利回り!$F$5/12,利回り!$F$4*12,利回り!$F$2,0),0)</f>
        <v>-109076.45927389535</v>
      </c>
      <c r="E135" s="16">
        <f t="shared" si="12"/>
        <v>-72437.459273895351</v>
      </c>
      <c r="F135" s="16">
        <f t="shared" si="13"/>
        <v>-36639</v>
      </c>
      <c r="G135" s="13">
        <f t="shared" si="14"/>
        <v>10919175.805680318</v>
      </c>
    </row>
    <row r="136" spans="1:7" x14ac:dyDescent="0.45">
      <c r="A136">
        <f t="shared" si="10"/>
        <v>10</v>
      </c>
      <c r="B136">
        <v>119</v>
      </c>
      <c r="C136" s="16">
        <f t="shared" si="11"/>
        <v>-12980098.653593536</v>
      </c>
      <c r="D136" s="16">
        <f>IF(A136&lt;=$B$3,PMT(利回り!$F$5/12,利回り!$F$4*12,利回り!$F$2,0),0)</f>
        <v>-109076.45927389535</v>
      </c>
      <c r="E136" s="16">
        <f t="shared" si="12"/>
        <v>-72678.459273895351</v>
      </c>
      <c r="F136" s="16">
        <f t="shared" si="13"/>
        <v>-36398</v>
      </c>
      <c r="G136" s="13">
        <f t="shared" si="14"/>
        <v>10846497.346406423</v>
      </c>
    </row>
    <row r="137" spans="1:7" x14ac:dyDescent="0.45">
      <c r="A137">
        <f t="shared" si="10"/>
        <v>10</v>
      </c>
      <c r="B137">
        <v>120</v>
      </c>
      <c r="C137" s="16">
        <f t="shared" si="11"/>
        <v>-13089175.112867432</v>
      </c>
      <c r="D137" s="16">
        <f>IF(A137&lt;=$B$3,PMT(利回り!$F$5/12,利回り!$F$4*12,利回り!$F$2,0),0)</f>
        <v>-109076.45927389535</v>
      </c>
      <c r="E137" s="16">
        <f t="shared" si="12"/>
        <v>-72921.459273895351</v>
      </c>
      <c r="F137" s="16">
        <f t="shared" si="13"/>
        <v>-36155</v>
      </c>
      <c r="G137" s="13">
        <f t="shared" si="14"/>
        <v>10773575.887132527</v>
      </c>
    </row>
    <row r="138" spans="1:7" x14ac:dyDescent="0.45">
      <c r="A138">
        <f t="shared" si="10"/>
        <v>11</v>
      </c>
      <c r="B138">
        <v>121</v>
      </c>
      <c r="C138" s="16">
        <f t="shared" si="11"/>
        <v>-13198251.572141327</v>
      </c>
      <c r="D138" s="16">
        <f>IF(A138&lt;=$B$3,PMT(利回り!$F$5/12,利回り!$F$4*12,利回り!$F$2,0),0)</f>
        <v>-109076.45927389535</v>
      </c>
      <c r="E138" s="16">
        <f t="shared" si="12"/>
        <v>-73164.459273895351</v>
      </c>
      <c r="F138" s="16">
        <f t="shared" si="13"/>
        <v>-35912</v>
      </c>
      <c r="G138" s="13">
        <f t="shared" si="14"/>
        <v>10700411.427858632</v>
      </c>
    </row>
    <row r="139" spans="1:7" x14ac:dyDescent="0.45">
      <c r="A139">
        <f t="shared" si="10"/>
        <v>11</v>
      </c>
      <c r="B139">
        <v>122</v>
      </c>
      <c r="C139" s="16">
        <f t="shared" si="11"/>
        <v>-13307328.031415222</v>
      </c>
      <c r="D139" s="16">
        <f>IF(A139&lt;=$B$3,PMT(利回り!$F$5/12,利回り!$F$4*12,利回り!$F$2,0),0)</f>
        <v>-109076.45927389535</v>
      </c>
      <c r="E139" s="16">
        <f t="shared" si="12"/>
        <v>-73407.459273895351</v>
      </c>
      <c r="F139" s="16">
        <f t="shared" si="13"/>
        <v>-35669</v>
      </c>
      <c r="G139" s="13">
        <f t="shared" si="14"/>
        <v>10627003.968584737</v>
      </c>
    </row>
    <row r="140" spans="1:7" x14ac:dyDescent="0.45">
      <c r="A140">
        <f t="shared" si="10"/>
        <v>11</v>
      </c>
      <c r="B140">
        <v>123</v>
      </c>
      <c r="C140" s="16">
        <f t="shared" si="11"/>
        <v>-13416404.490689117</v>
      </c>
      <c r="D140" s="16">
        <f>IF(A140&lt;=$B$3,PMT(利回り!$F$5/12,利回り!$F$4*12,利回り!$F$2,0),0)</f>
        <v>-109076.45927389535</v>
      </c>
      <c r="E140" s="16">
        <f t="shared" si="12"/>
        <v>-73652.459273895351</v>
      </c>
      <c r="F140" s="16">
        <f t="shared" si="13"/>
        <v>-35424</v>
      </c>
      <c r="G140" s="13">
        <f t="shared" si="14"/>
        <v>10553351.509310842</v>
      </c>
    </row>
    <row r="141" spans="1:7" x14ac:dyDescent="0.45">
      <c r="A141">
        <f t="shared" si="10"/>
        <v>11</v>
      </c>
      <c r="B141">
        <v>124</v>
      </c>
      <c r="C141" s="16">
        <f t="shared" si="11"/>
        <v>-13525480.949963013</v>
      </c>
      <c r="D141" s="16">
        <f>IF(A141&lt;=$B$3,PMT(利回り!$F$5/12,利回り!$F$4*12,利回り!$F$2,0),0)</f>
        <v>-109076.45927389535</v>
      </c>
      <c r="E141" s="16">
        <f t="shared" si="12"/>
        <v>-73898.459273895351</v>
      </c>
      <c r="F141" s="16">
        <f t="shared" si="13"/>
        <v>-35178</v>
      </c>
      <c r="G141" s="13">
        <f t="shared" si="14"/>
        <v>10479453.050036946</v>
      </c>
    </row>
    <row r="142" spans="1:7" x14ac:dyDescent="0.45">
      <c r="A142">
        <f t="shared" si="10"/>
        <v>11</v>
      </c>
      <c r="B142">
        <v>125</v>
      </c>
      <c r="C142" s="16">
        <f t="shared" si="11"/>
        <v>-13634557.409236908</v>
      </c>
      <c r="D142" s="16">
        <f>IF(A142&lt;=$B$3,PMT(利回り!$F$5/12,利回り!$F$4*12,利回り!$F$2,0),0)</f>
        <v>-109076.45927389535</v>
      </c>
      <c r="E142" s="16">
        <f t="shared" si="12"/>
        <v>-74144.459273895351</v>
      </c>
      <c r="F142" s="16">
        <f t="shared" si="13"/>
        <v>-34932</v>
      </c>
      <c r="G142" s="13">
        <f t="shared" si="14"/>
        <v>10405308.590763051</v>
      </c>
    </row>
    <row r="143" spans="1:7" x14ac:dyDescent="0.45">
      <c r="A143">
        <f t="shared" si="10"/>
        <v>11</v>
      </c>
      <c r="B143">
        <v>126</v>
      </c>
      <c r="C143" s="16">
        <f t="shared" si="11"/>
        <v>-13743633.868510803</v>
      </c>
      <c r="D143" s="16">
        <f>IF(A143&lt;=$B$3,PMT(利回り!$F$5/12,利回り!$F$4*12,利回り!$F$2,0),0)</f>
        <v>-109076.45927389535</v>
      </c>
      <c r="E143" s="16">
        <f t="shared" si="12"/>
        <v>-74391.459273895351</v>
      </c>
      <c r="F143" s="16">
        <f t="shared" si="13"/>
        <v>-34685</v>
      </c>
      <c r="G143" s="13">
        <f t="shared" si="14"/>
        <v>10330917.131489156</v>
      </c>
    </row>
    <row r="144" spans="1:7" x14ac:dyDescent="0.45">
      <c r="A144">
        <f t="shared" si="10"/>
        <v>11</v>
      </c>
      <c r="B144">
        <v>127</v>
      </c>
      <c r="C144" s="16">
        <f t="shared" si="11"/>
        <v>-13852710.327784698</v>
      </c>
      <c r="D144" s="16">
        <f>IF(A144&lt;=$B$3,PMT(利回り!$F$5/12,利回り!$F$4*12,利回り!$F$2,0),0)</f>
        <v>-109076.45927389535</v>
      </c>
      <c r="E144" s="16">
        <f t="shared" si="12"/>
        <v>-74639.459273895351</v>
      </c>
      <c r="F144" s="16">
        <f t="shared" si="13"/>
        <v>-34437</v>
      </c>
      <c r="G144" s="13">
        <f t="shared" si="14"/>
        <v>10256277.672215261</v>
      </c>
    </row>
    <row r="145" spans="1:7" x14ac:dyDescent="0.45">
      <c r="A145">
        <f t="shared" si="10"/>
        <v>11</v>
      </c>
      <c r="B145">
        <v>128</v>
      </c>
      <c r="C145" s="16">
        <f t="shared" si="11"/>
        <v>-13961786.787058594</v>
      </c>
      <c r="D145" s="16">
        <f>IF(A145&lt;=$B$3,PMT(利回り!$F$5/12,利回り!$F$4*12,利回り!$F$2,0),0)</f>
        <v>-109076.45927389535</v>
      </c>
      <c r="E145" s="16">
        <f t="shared" si="12"/>
        <v>-74888.459273895351</v>
      </c>
      <c r="F145" s="16">
        <f t="shared" si="13"/>
        <v>-34188</v>
      </c>
      <c r="G145" s="13">
        <f t="shared" si="14"/>
        <v>10181389.212941365</v>
      </c>
    </row>
    <row r="146" spans="1:7" x14ac:dyDescent="0.45">
      <c r="A146">
        <f t="shared" si="10"/>
        <v>11</v>
      </c>
      <c r="B146">
        <v>129</v>
      </c>
      <c r="C146" s="16">
        <f t="shared" si="11"/>
        <v>-14070863.246332489</v>
      </c>
      <c r="D146" s="16">
        <f>IF(A146&lt;=$B$3,PMT(利回り!$F$5/12,利回り!$F$4*12,利回り!$F$2,0),0)</f>
        <v>-109076.45927389535</v>
      </c>
      <c r="E146" s="16">
        <f t="shared" si="12"/>
        <v>-75138.459273895351</v>
      </c>
      <c r="F146" s="16">
        <f t="shared" si="13"/>
        <v>-33938</v>
      </c>
      <c r="G146" s="13">
        <f t="shared" si="14"/>
        <v>10106250.75366747</v>
      </c>
    </row>
    <row r="147" spans="1:7" x14ac:dyDescent="0.45">
      <c r="A147">
        <f t="shared" ref="A147:A210" si="15">INT((B147-1)/12)+1</f>
        <v>11</v>
      </c>
      <c r="B147">
        <v>130</v>
      </c>
      <c r="C147" s="16">
        <f t="shared" si="11"/>
        <v>-14179939.705606384</v>
      </c>
      <c r="D147" s="16">
        <f>IF(A147&lt;=$B$3,PMT(利回り!$F$5/12,利回り!$F$4*12,利回り!$F$2,0),0)</f>
        <v>-109076.45927389535</v>
      </c>
      <c r="E147" s="16">
        <f t="shared" si="12"/>
        <v>-75388.459273895351</v>
      </c>
      <c r="F147" s="16">
        <f t="shared" si="13"/>
        <v>-33688</v>
      </c>
      <c r="G147" s="13">
        <f t="shared" si="14"/>
        <v>10030862.294393575</v>
      </c>
    </row>
    <row r="148" spans="1:7" x14ac:dyDescent="0.45">
      <c r="A148">
        <f t="shared" si="15"/>
        <v>11</v>
      </c>
      <c r="B148">
        <v>131</v>
      </c>
      <c r="C148" s="16">
        <f t="shared" si="11"/>
        <v>-14289016.164880279</v>
      </c>
      <c r="D148" s="16">
        <f>IF(A148&lt;=$B$3,PMT(利回り!$F$5/12,利回り!$F$4*12,利回り!$F$2,0),0)</f>
        <v>-109076.45927389535</v>
      </c>
      <c r="E148" s="16">
        <f t="shared" si="12"/>
        <v>-75639.459273895351</v>
      </c>
      <c r="F148" s="16">
        <f t="shared" si="13"/>
        <v>-33437</v>
      </c>
      <c r="G148" s="13">
        <f t="shared" si="14"/>
        <v>9955222.8351196796</v>
      </c>
    </row>
    <row r="149" spans="1:7" x14ac:dyDescent="0.45">
      <c r="A149">
        <f t="shared" si="15"/>
        <v>11</v>
      </c>
      <c r="B149">
        <v>132</v>
      </c>
      <c r="C149" s="16">
        <f t="shared" ref="C149:C212" si="16">C148+D148</f>
        <v>-14398092.624154175</v>
      </c>
      <c r="D149" s="16">
        <f>IF(A149&lt;=$B$3,PMT(利回り!$F$5/12,利回り!$F$4*12,利回り!$F$2,0),0)</f>
        <v>-109076.45927389535</v>
      </c>
      <c r="E149" s="16">
        <f t="shared" ref="E149:E212" si="17">D149-F149</f>
        <v>-75891.459273895351</v>
      </c>
      <c r="F149" s="16">
        <f t="shared" ref="F149:F212" si="18">-ROUNDUP(IF(A149&lt;=$B$3,($B$4/12)*G148,0),0)</f>
        <v>-33185</v>
      </c>
      <c r="G149" s="13">
        <f t="shared" ref="G149:G212" si="19">IF(G148+E149&gt;0,G148+E149,0)</f>
        <v>9879331.3758457843</v>
      </c>
    </row>
    <row r="150" spans="1:7" x14ac:dyDescent="0.45">
      <c r="A150">
        <f t="shared" si="15"/>
        <v>12</v>
      </c>
      <c r="B150">
        <v>133</v>
      </c>
      <c r="C150" s="16">
        <f t="shared" si="16"/>
        <v>-14507169.08342807</v>
      </c>
      <c r="D150" s="16">
        <f>IF(A150&lt;=$B$3,PMT(利回り!$F$5/12,利回り!$F$4*12,利回り!$F$2,0),0)</f>
        <v>-109076.45927389535</v>
      </c>
      <c r="E150" s="16">
        <f t="shared" si="17"/>
        <v>-76144.459273895351</v>
      </c>
      <c r="F150" s="16">
        <f t="shared" si="18"/>
        <v>-32932</v>
      </c>
      <c r="G150" s="13">
        <f t="shared" si="19"/>
        <v>9803186.9165718891</v>
      </c>
    </row>
    <row r="151" spans="1:7" x14ac:dyDescent="0.45">
      <c r="A151">
        <f t="shared" si="15"/>
        <v>12</v>
      </c>
      <c r="B151">
        <v>134</v>
      </c>
      <c r="C151" s="16">
        <f t="shared" si="16"/>
        <v>-14616245.542701965</v>
      </c>
      <c r="D151" s="16">
        <f>IF(A151&lt;=$B$3,PMT(利回り!$F$5/12,利回り!$F$4*12,利回り!$F$2,0),0)</f>
        <v>-109076.45927389535</v>
      </c>
      <c r="E151" s="16">
        <f t="shared" si="17"/>
        <v>-76398.459273895351</v>
      </c>
      <c r="F151" s="16">
        <f t="shared" si="18"/>
        <v>-32678</v>
      </c>
      <c r="G151" s="13">
        <f t="shared" si="19"/>
        <v>9726788.4572979938</v>
      </c>
    </row>
    <row r="152" spans="1:7" x14ac:dyDescent="0.45">
      <c r="A152">
        <f t="shared" si="15"/>
        <v>12</v>
      </c>
      <c r="B152">
        <v>135</v>
      </c>
      <c r="C152" s="16">
        <f t="shared" si="16"/>
        <v>-14725322.00197586</v>
      </c>
      <c r="D152" s="16">
        <f>IF(A152&lt;=$B$3,PMT(利回り!$F$5/12,利回り!$F$4*12,利回り!$F$2,0),0)</f>
        <v>-109076.45927389535</v>
      </c>
      <c r="E152" s="16">
        <f t="shared" si="17"/>
        <v>-76653.459273895351</v>
      </c>
      <c r="F152" s="16">
        <f t="shared" si="18"/>
        <v>-32423</v>
      </c>
      <c r="G152" s="13">
        <f t="shared" si="19"/>
        <v>9650134.9980240986</v>
      </c>
    </row>
    <row r="153" spans="1:7" x14ac:dyDescent="0.45">
      <c r="A153">
        <f t="shared" si="15"/>
        <v>12</v>
      </c>
      <c r="B153">
        <v>136</v>
      </c>
      <c r="C153" s="16">
        <f t="shared" si="16"/>
        <v>-14834398.461249756</v>
      </c>
      <c r="D153" s="16">
        <f>IF(A153&lt;=$B$3,PMT(利回り!$F$5/12,利回り!$F$4*12,利回り!$F$2,0),0)</f>
        <v>-109076.45927389535</v>
      </c>
      <c r="E153" s="16">
        <f t="shared" si="17"/>
        <v>-76908.459273895351</v>
      </c>
      <c r="F153" s="16">
        <f t="shared" si="18"/>
        <v>-32168</v>
      </c>
      <c r="G153" s="13">
        <f t="shared" si="19"/>
        <v>9573226.5387502033</v>
      </c>
    </row>
    <row r="154" spans="1:7" x14ac:dyDescent="0.45">
      <c r="A154">
        <f t="shared" si="15"/>
        <v>12</v>
      </c>
      <c r="B154">
        <v>137</v>
      </c>
      <c r="C154" s="16">
        <f t="shared" si="16"/>
        <v>-14943474.920523651</v>
      </c>
      <c r="D154" s="16">
        <f>IF(A154&lt;=$B$3,PMT(利回り!$F$5/12,利回り!$F$4*12,利回り!$F$2,0),0)</f>
        <v>-109076.45927389535</v>
      </c>
      <c r="E154" s="16">
        <f t="shared" si="17"/>
        <v>-77165.459273895351</v>
      </c>
      <c r="F154" s="16">
        <f t="shared" si="18"/>
        <v>-31911</v>
      </c>
      <c r="G154" s="13">
        <f t="shared" si="19"/>
        <v>9496061.0794763081</v>
      </c>
    </row>
    <row r="155" spans="1:7" x14ac:dyDescent="0.45">
      <c r="A155">
        <f t="shared" si="15"/>
        <v>12</v>
      </c>
      <c r="B155">
        <v>138</v>
      </c>
      <c r="C155" s="16">
        <f t="shared" si="16"/>
        <v>-15052551.379797546</v>
      </c>
      <c r="D155" s="16">
        <f>IF(A155&lt;=$B$3,PMT(利回り!$F$5/12,利回り!$F$4*12,利回り!$F$2,0),0)</f>
        <v>-109076.45927389535</v>
      </c>
      <c r="E155" s="16">
        <f t="shared" si="17"/>
        <v>-77422.459273895351</v>
      </c>
      <c r="F155" s="16">
        <f t="shared" si="18"/>
        <v>-31654</v>
      </c>
      <c r="G155" s="13">
        <f t="shared" si="19"/>
        <v>9418638.6202024128</v>
      </c>
    </row>
    <row r="156" spans="1:7" x14ac:dyDescent="0.45">
      <c r="A156">
        <f t="shared" si="15"/>
        <v>12</v>
      </c>
      <c r="B156">
        <v>139</v>
      </c>
      <c r="C156" s="16">
        <f t="shared" si="16"/>
        <v>-15161627.839071441</v>
      </c>
      <c r="D156" s="16">
        <f>IF(A156&lt;=$B$3,PMT(利回り!$F$5/12,利回り!$F$4*12,利回り!$F$2,0),0)</f>
        <v>-109076.45927389535</v>
      </c>
      <c r="E156" s="16">
        <f t="shared" si="17"/>
        <v>-77680.459273895351</v>
      </c>
      <c r="F156" s="16">
        <f t="shared" si="18"/>
        <v>-31396</v>
      </c>
      <c r="G156" s="13">
        <f t="shared" si="19"/>
        <v>9340958.1609285176</v>
      </c>
    </row>
    <row r="157" spans="1:7" x14ac:dyDescent="0.45">
      <c r="A157">
        <f t="shared" si="15"/>
        <v>12</v>
      </c>
      <c r="B157">
        <v>140</v>
      </c>
      <c r="C157" s="16">
        <f t="shared" si="16"/>
        <v>-15270704.298345337</v>
      </c>
      <c r="D157" s="16">
        <f>IF(A157&lt;=$B$3,PMT(利回り!$F$5/12,利回り!$F$4*12,利回り!$F$2,0),0)</f>
        <v>-109076.45927389535</v>
      </c>
      <c r="E157" s="16">
        <f t="shared" si="17"/>
        <v>-77939.459273895351</v>
      </c>
      <c r="F157" s="16">
        <f t="shared" si="18"/>
        <v>-31137</v>
      </c>
      <c r="G157" s="13">
        <f t="shared" si="19"/>
        <v>9263018.7016546223</v>
      </c>
    </row>
    <row r="158" spans="1:7" x14ac:dyDescent="0.45">
      <c r="A158">
        <f t="shared" si="15"/>
        <v>12</v>
      </c>
      <c r="B158">
        <v>141</v>
      </c>
      <c r="C158" s="16">
        <f t="shared" si="16"/>
        <v>-15379780.757619232</v>
      </c>
      <c r="D158" s="16">
        <f>IF(A158&lt;=$B$3,PMT(利回り!$F$5/12,利回り!$F$4*12,利回り!$F$2,0),0)</f>
        <v>-109076.45927389535</v>
      </c>
      <c r="E158" s="16">
        <f t="shared" si="17"/>
        <v>-78199.459273895351</v>
      </c>
      <c r="F158" s="16">
        <f t="shared" si="18"/>
        <v>-30877</v>
      </c>
      <c r="G158" s="13">
        <f t="shared" si="19"/>
        <v>9184819.2423807271</v>
      </c>
    </row>
    <row r="159" spans="1:7" x14ac:dyDescent="0.45">
      <c r="A159">
        <f t="shared" si="15"/>
        <v>12</v>
      </c>
      <c r="B159">
        <v>142</v>
      </c>
      <c r="C159" s="16">
        <f t="shared" si="16"/>
        <v>-15488857.216893127</v>
      </c>
      <c r="D159" s="16">
        <f>IF(A159&lt;=$B$3,PMT(利回り!$F$5/12,利回り!$F$4*12,利回り!$F$2,0),0)</f>
        <v>-109076.45927389535</v>
      </c>
      <c r="E159" s="16">
        <f t="shared" si="17"/>
        <v>-78459.459273895351</v>
      </c>
      <c r="F159" s="16">
        <f t="shared" si="18"/>
        <v>-30617</v>
      </c>
      <c r="G159" s="13">
        <f t="shared" si="19"/>
        <v>9106359.7831068318</v>
      </c>
    </row>
    <row r="160" spans="1:7" x14ac:dyDescent="0.45">
      <c r="A160">
        <f t="shared" si="15"/>
        <v>12</v>
      </c>
      <c r="B160">
        <v>143</v>
      </c>
      <c r="C160" s="16">
        <f t="shared" si="16"/>
        <v>-15597933.676167022</v>
      </c>
      <c r="D160" s="16">
        <f>IF(A160&lt;=$B$3,PMT(利回り!$F$5/12,利回り!$F$4*12,利回り!$F$2,0),0)</f>
        <v>-109076.45927389535</v>
      </c>
      <c r="E160" s="16">
        <f t="shared" si="17"/>
        <v>-78721.459273895351</v>
      </c>
      <c r="F160" s="16">
        <f t="shared" si="18"/>
        <v>-30355</v>
      </c>
      <c r="G160" s="13">
        <f t="shared" si="19"/>
        <v>9027638.3238329366</v>
      </c>
    </row>
    <row r="161" spans="1:7" x14ac:dyDescent="0.45">
      <c r="A161">
        <f t="shared" si="15"/>
        <v>12</v>
      </c>
      <c r="B161">
        <v>144</v>
      </c>
      <c r="C161" s="16">
        <f t="shared" si="16"/>
        <v>-15707010.135440918</v>
      </c>
      <c r="D161" s="16">
        <f>IF(A161&lt;=$B$3,PMT(利回り!$F$5/12,利回り!$F$4*12,利回り!$F$2,0),0)</f>
        <v>-109076.45927389535</v>
      </c>
      <c r="E161" s="16">
        <f t="shared" si="17"/>
        <v>-78983.459273895351</v>
      </c>
      <c r="F161" s="16">
        <f t="shared" si="18"/>
        <v>-30093</v>
      </c>
      <c r="G161" s="13">
        <f t="shared" si="19"/>
        <v>8948654.8645590413</v>
      </c>
    </row>
    <row r="162" spans="1:7" x14ac:dyDescent="0.45">
      <c r="A162">
        <f t="shared" si="15"/>
        <v>13</v>
      </c>
      <c r="B162">
        <v>145</v>
      </c>
      <c r="C162" s="16">
        <f t="shared" si="16"/>
        <v>-15816086.594714813</v>
      </c>
      <c r="D162" s="16">
        <f>IF(A162&lt;=$B$3,PMT(利回り!$F$5/12,利回り!$F$4*12,利回り!$F$2,0),0)</f>
        <v>-109076.45927389535</v>
      </c>
      <c r="E162" s="16">
        <f t="shared" si="17"/>
        <v>-79247.459273895351</v>
      </c>
      <c r="F162" s="16">
        <f t="shared" si="18"/>
        <v>-29829</v>
      </c>
      <c r="G162" s="13">
        <f t="shared" si="19"/>
        <v>8869407.4052851461</v>
      </c>
    </row>
    <row r="163" spans="1:7" x14ac:dyDescent="0.45">
      <c r="A163">
        <f t="shared" si="15"/>
        <v>13</v>
      </c>
      <c r="B163">
        <v>146</v>
      </c>
      <c r="C163" s="16">
        <f t="shared" si="16"/>
        <v>-15925163.053988708</v>
      </c>
      <c r="D163" s="16">
        <f>IF(A163&lt;=$B$3,PMT(利回り!$F$5/12,利回り!$F$4*12,利回り!$F$2,0),0)</f>
        <v>-109076.45927389535</v>
      </c>
      <c r="E163" s="16">
        <f t="shared" si="17"/>
        <v>-79511.459273895351</v>
      </c>
      <c r="F163" s="16">
        <f t="shared" si="18"/>
        <v>-29565</v>
      </c>
      <c r="G163" s="13">
        <f t="shared" si="19"/>
        <v>8789895.9460112508</v>
      </c>
    </row>
    <row r="164" spans="1:7" x14ac:dyDescent="0.45">
      <c r="A164">
        <f t="shared" si="15"/>
        <v>13</v>
      </c>
      <c r="B164">
        <v>147</v>
      </c>
      <c r="C164" s="16">
        <f t="shared" si="16"/>
        <v>-16034239.513262603</v>
      </c>
      <c r="D164" s="16">
        <f>IF(A164&lt;=$B$3,PMT(利回り!$F$5/12,利回り!$F$4*12,利回り!$F$2,0),0)</f>
        <v>-109076.45927389535</v>
      </c>
      <c r="E164" s="16">
        <f t="shared" si="17"/>
        <v>-79776.459273895351</v>
      </c>
      <c r="F164" s="16">
        <f t="shared" si="18"/>
        <v>-29300</v>
      </c>
      <c r="G164" s="13">
        <f t="shared" si="19"/>
        <v>8710119.4867373556</v>
      </c>
    </row>
    <row r="165" spans="1:7" x14ac:dyDescent="0.45">
      <c r="A165">
        <f t="shared" si="15"/>
        <v>13</v>
      </c>
      <c r="B165">
        <v>148</v>
      </c>
      <c r="C165" s="16">
        <f t="shared" si="16"/>
        <v>-16143315.972536499</v>
      </c>
      <c r="D165" s="16">
        <f>IF(A165&lt;=$B$3,PMT(利回り!$F$5/12,利回り!$F$4*12,利回り!$F$2,0),0)</f>
        <v>-109076.45927389535</v>
      </c>
      <c r="E165" s="16">
        <f t="shared" si="17"/>
        <v>-80042.459273895351</v>
      </c>
      <c r="F165" s="16">
        <f t="shared" si="18"/>
        <v>-29034</v>
      </c>
      <c r="G165" s="13">
        <f t="shared" si="19"/>
        <v>8630077.0274634603</v>
      </c>
    </row>
    <row r="166" spans="1:7" x14ac:dyDescent="0.45">
      <c r="A166">
        <f t="shared" si="15"/>
        <v>13</v>
      </c>
      <c r="B166">
        <v>149</v>
      </c>
      <c r="C166" s="16">
        <f t="shared" si="16"/>
        <v>-16252392.431810394</v>
      </c>
      <c r="D166" s="16">
        <f>IF(A166&lt;=$B$3,PMT(利回り!$F$5/12,利回り!$F$4*12,利回り!$F$2,0),0)</f>
        <v>-109076.45927389535</v>
      </c>
      <c r="E166" s="16">
        <f t="shared" si="17"/>
        <v>-80309.459273895351</v>
      </c>
      <c r="F166" s="16">
        <f t="shared" si="18"/>
        <v>-28767</v>
      </c>
      <c r="G166" s="13">
        <f t="shared" si="19"/>
        <v>8549767.5681895651</v>
      </c>
    </row>
    <row r="167" spans="1:7" x14ac:dyDescent="0.45">
      <c r="A167">
        <f t="shared" si="15"/>
        <v>13</v>
      </c>
      <c r="B167">
        <v>150</v>
      </c>
      <c r="C167" s="16">
        <f t="shared" si="16"/>
        <v>-16361468.891084289</v>
      </c>
      <c r="D167" s="16">
        <f>IF(A167&lt;=$B$3,PMT(利回り!$F$5/12,利回り!$F$4*12,利回り!$F$2,0),0)</f>
        <v>-109076.45927389535</v>
      </c>
      <c r="E167" s="16">
        <f t="shared" si="17"/>
        <v>-80576.459273895351</v>
      </c>
      <c r="F167" s="16">
        <f t="shared" si="18"/>
        <v>-28500</v>
      </c>
      <c r="G167" s="13">
        <f t="shared" si="19"/>
        <v>8469191.1089156698</v>
      </c>
    </row>
    <row r="168" spans="1:7" x14ac:dyDescent="0.45">
      <c r="A168">
        <f t="shared" si="15"/>
        <v>13</v>
      </c>
      <c r="B168">
        <v>151</v>
      </c>
      <c r="C168" s="16">
        <f t="shared" si="16"/>
        <v>-16470545.350358184</v>
      </c>
      <c r="D168" s="16">
        <f>IF(A168&lt;=$B$3,PMT(利回り!$F$5/12,利回り!$F$4*12,利回り!$F$2,0),0)</f>
        <v>-109076.45927389535</v>
      </c>
      <c r="E168" s="16">
        <f t="shared" si="17"/>
        <v>-80845.459273895351</v>
      </c>
      <c r="F168" s="16">
        <f t="shared" si="18"/>
        <v>-28231</v>
      </c>
      <c r="G168" s="13">
        <f t="shared" si="19"/>
        <v>8388345.6496417746</v>
      </c>
    </row>
    <row r="169" spans="1:7" x14ac:dyDescent="0.45">
      <c r="A169">
        <f t="shared" si="15"/>
        <v>13</v>
      </c>
      <c r="B169">
        <v>152</v>
      </c>
      <c r="C169" s="16">
        <f t="shared" si="16"/>
        <v>-16579621.80963208</v>
      </c>
      <c r="D169" s="16">
        <f>IF(A169&lt;=$B$3,PMT(利回り!$F$5/12,利回り!$F$4*12,利回り!$F$2,0),0)</f>
        <v>-109076.45927389535</v>
      </c>
      <c r="E169" s="16">
        <f t="shared" si="17"/>
        <v>-81114.459273895351</v>
      </c>
      <c r="F169" s="16">
        <f t="shared" si="18"/>
        <v>-27962</v>
      </c>
      <c r="G169" s="13">
        <f t="shared" si="19"/>
        <v>8307231.1903678793</v>
      </c>
    </row>
    <row r="170" spans="1:7" x14ac:dyDescent="0.45">
      <c r="A170">
        <f t="shared" si="15"/>
        <v>13</v>
      </c>
      <c r="B170">
        <v>153</v>
      </c>
      <c r="C170" s="16">
        <f t="shared" si="16"/>
        <v>-16688698.268905975</v>
      </c>
      <c r="D170" s="16">
        <f>IF(A170&lt;=$B$3,PMT(利回り!$F$5/12,利回り!$F$4*12,利回り!$F$2,0),0)</f>
        <v>-109076.45927389535</v>
      </c>
      <c r="E170" s="16">
        <f t="shared" si="17"/>
        <v>-81385.459273895351</v>
      </c>
      <c r="F170" s="16">
        <f t="shared" si="18"/>
        <v>-27691</v>
      </c>
      <c r="G170" s="13">
        <f t="shared" si="19"/>
        <v>8225845.7310939841</v>
      </c>
    </row>
    <row r="171" spans="1:7" x14ac:dyDescent="0.45">
      <c r="A171">
        <f t="shared" si="15"/>
        <v>13</v>
      </c>
      <c r="B171">
        <v>154</v>
      </c>
      <c r="C171" s="16">
        <f t="shared" si="16"/>
        <v>-16797774.728179872</v>
      </c>
      <c r="D171" s="16">
        <f>IF(A171&lt;=$B$3,PMT(利回り!$F$5/12,利回り!$F$4*12,利回り!$F$2,0),0)</f>
        <v>-109076.45927389535</v>
      </c>
      <c r="E171" s="16">
        <f t="shared" si="17"/>
        <v>-81656.459273895351</v>
      </c>
      <c r="F171" s="16">
        <f t="shared" si="18"/>
        <v>-27420</v>
      </c>
      <c r="G171" s="13">
        <f t="shared" si="19"/>
        <v>8144189.2718200888</v>
      </c>
    </row>
    <row r="172" spans="1:7" x14ac:dyDescent="0.45">
      <c r="A172">
        <f t="shared" si="15"/>
        <v>13</v>
      </c>
      <c r="B172">
        <v>155</v>
      </c>
      <c r="C172" s="16">
        <f t="shared" si="16"/>
        <v>-16906851.187453769</v>
      </c>
      <c r="D172" s="16">
        <f>IF(A172&lt;=$B$3,PMT(利回り!$F$5/12,利回り!$F$4*12,利回り!$F$2,0),0)</f>
        <v>-109076.45927389535</v>
      </c>
      <c r="E172" s="16">
        <f t="shared" si="17"/>
        <v>-81928.459273895351</v>
      </c>
      <c r="F172" s="16">
        <f t="shared" si="18"/>
        <v>-27148</v>
      </c>
      <c r="G172" s="13">
        <f t="shared" si="19"/>
        <v>8062260.8125461936</v>
      </c>
    </row>
    <row r="173" spans="1:7" x14ac:dyDescent="0.45">
      <c r="A173">
        <f t="shared" si="15"/>
        <v>13</v>
      </c>
      <c r="B173">
        <v>156</v>
      </c>
      <c r="C173" s="16">
        <f t="shared" si="16"/>
        <v>-17015927.646727666</v>
      </c>
      <c r="D173" s="16">
        <f>IF(A173&lt;=$B$3,PMT(利回り!$F$5/12,利回り!$F$4*12,利回り!$F$2,0),0)</f>
        <v>-109076.45927389535</v>
      </c>
      <c r="E173" s="16">
        <f t="shared" si="17"/>
        <v>-82201.459273895351</v>
      </c>
      <c r="F173" s="16">
        <f t="shared" si="18"/>
        <v>-26875</v>
      </c>
      <c r="G173" s="13">
        <f t="shared" si="19"/>
        <v>7980059.3532722984</v>
      </c>
    </row>
    <row r="174" spans="1:7" x14ac:dyDescent="0.45">
      <c r="A174">
        <f t="shared" si="15"/>
        <v>14</v>
      </c>
      <c r="B174">
        <v>157</v>
      </c>
      <c r="C174" s="16">
        <f t="shared" si="16"/>
        <v>-17125004.106001563</v>
      </c>
      <c r="D174" s="16">
        <f>IF(A174&lt;=$B$3,PMT(利回り!$F$5/12,利回り!$F$4*12,利回り!$F$2,0),0)</f>
        <v>-109076.45927389535</v>
      </c>
      <c r="E174" s="16">
        <f t="shared" si="17"/>
        <v>-82475.459273895351</v>
      </c>
      <c r="F174" s="16">
        <f t="shared" si="18"/>
        <v>-26601</v>
      </c>
      <c r="G174" s="13">
        <f t="shared" si="19"/>
        <v>7897583.8939984031</v>
      </c>
    </row>
    <row r="175" spans="1:7" x14ac:dyDescent="0.45">
      <c r="A175">
        <f t="shared" si="15"/>
        <v>14</v>
      </c>
      <c r="B175">
        <v>158</v>
      </c>
      <c r="C175" s="16">
        <f t="shared" si="16"/>
        <v>-17234080.56527546</v>
      </c>
      <c r="D175" s="16">
        <f>IF(A175&lt;=$B$3,PMT(利回り!$F$5/12,利回り!$F$4*12,利回り!$F$2,0),0)</f>
        <v>-109076.45927389535</v>
      </c>
      <c r="E175" s="16">
        <f t="shared" si="17"/>
        <v>-82750.459273895351</v>
      </c>
      <c r="F175" s="16">
        <f t="shared" si="18"/>
        <v>-26326</v>
      </c>
      <c r="G175" s="13">
        <f t="shared" si="19"/>
        <v>7814833.4347245079</v>
      </c>
    </row>
    <row r="176" spans="1:7" x14ac:dyDescent="0.45">
      <c r="A176">
        <f t="shared" si="15"/>
        <v>14</v>
      </c>
      <c r="B176">
        <v>159</v>
      </c>
      <c r="C176" s="16">
        <f t="shared" si="16"/>
        <v>-17343157.024549358</v>
      </c>
      <c r="D176" s="16">
        <f>IF(A176&lt;=$B$3,PMT(利回り!$F$5/12,利回り!$F$4*12,利回り!$F$2,0),0)</f>
        <v>-109076.45927389535</v>
      </c>
      <c r="E176" s="16">
        <f t="shared" si="17"/>
        <v>-83026.459273895351</v>
      </c>
      <c r="F176" s="16">
        <f t="shared" si="18"/>
        <v>-26050</v>
      </c>
      <c r="G176" s="13">
        <f t="shared" si="19"/>
        <v>7731806.9754506126</v>
      </c>
    </row>
    <row r="177" spans="1:7" x14ac:dyDescent="0.45">
      <c r="A177">
        <f t="shared" si="15"/>
        <v>14</v>
      </c>
      <c r="B177">
        <v>160</v>
      </c>
      <c r="C177" s="16">
        <f t="shared" si="16"/>
        <v>-17452233.483823255</v>
      </c>
      <c r="D177" s="16">
        <f>IF(A177&lt;=$B$3,PMT(利回り!$F$5/12,利回り!$F$4*12,利回り!$F$2,0),0)</f>
        <v>-109076.45927389535</v>
      </c>
      <c r="E177" s="16">
        <f t="shared" si="17"/>
        <v>-83303.459273895351</v>
      </c>
      <c r="F177" s="16">
        <f t="shared" si="18"/>
        <v>-25773</v>
      </c>
      <c r="G177" s="13">
        <f t="shared" si="19"/>
        <v>7648503.5161767174</v>
      </c>
    </row>
    <row r="178" spans="1:7" x14ac:dyDescent="0.45">
      <c r="A178">
        <f t="shared" si="15"/>
        <v>14</v>
      </c>
      <c r="B178">
        <v>161</v>
      </c>
      <c r="C178" s="16">
        <f t="shared" si="16"/>
        <v>-17561309.943097152</v>
      </c>
      <c r="D178" s="16">
        <f>IF(A178&lt;=$B$3,PMT(利回り!$F$5/12,利回り!$F$4*12,利回り!$F$2,0),0)</f>
        <v>-109076.45927389535</v>
      </c>
      <c r="E178" s="16">
        <f t="shared" si="17"/>
        <v>-83580.459273895351</v>
      </c>
      <c r="F178" s="16">
        <f t="shared" si="18"/>
        <v>-25496</v>
      </c>
      <c r="G178" s="13">
        <f t="shared" si="19"/>
        <v>7564923.0569028221</v>
      </c>
    </row>
    <row r="179" spans="1:7" x14ac:dyDescent="0.45">
      <c r="A179">
        <f t="shared" si="15"/>
        <v>14</v>
      </c>
      <c r="B179">
        <v>162</v>
      </c>
      <c r="C179" s="16">
        <f t="shared" si="16"/>
        <v>-17670386.402371049</v>
      </c>
      <c r="D179" s="16">
        <f>IF(A179&lt;=$B$3,PMT(利回り!$F$5/12,利回り!$F$4*12,利回り!$F$2,0),0)</f>
        <v>-109076.45927389535</v>
      </c>
      <c r="E179" s="16">
        <f t="shared" si="17"/>
        <v>-83859.459273895351</v>
      </c>
      <c r="F179" s="16">
        <f t="shared" si="18"/>
        <v>-25217</v>
      </c>
      <c r="G179" s="13">
        <f t="shared" si="19"/>
        <v>7481063.5976289269</v>
      </c>
    </row>
    <row r="180" spans="1:7" x14ac:dyDescent="0.45">
      <c r="A180">
        <f t="shared" si="15"/>
        <v>14</v>
      </c>
      <c r="B180">
        <v>163</v>
      </c>
      <c r="C180" s="16">
        <f t="shared" si="16"/>
        <v>-17779462.861644946</v>
      </c>
      <c r="D180" s="16">
        <f>IF(A180&lt;=$B$3,PMT(利回り!$F$5/12,利回り!$F$4*12,利回り!$F$2,0),0)</f>
        <v>-109076.45927389535</v>
      </c>
      <c r="E180" s="16">
        <f t="shared" si="17"/>
        <v>-84139.459273895351</v>
      </c>
      <c r="F180" s="16">
        <f t="shared" si="18"/>
        <v>-24937</v>
      </c>
      <c r="G180" s="13">
        <f t="shared" si="19"/>
        <v>7396924.1383550316</v>
      </c>
    </row>
    <row r="181" spans="1:7" x14ac:dyDescent="0.45">
      <c r="A181">
        <f t="shared" si="15"/>
        <v>14</v>
      </c>
      <c r="B181">
        <v>164</v>
      </c>
      <c r="C181" s="16">
        <f t="shared" si="16"/>
        <v>-17888539.320918843</v>
      </c>
      <c r="D181" s="16">
        <f>IF(A181&lt;=$B$3,PMT(利回り!$F$5/12,利回り!$F$4*12,利回り!$F$2,0),0)</f>
        <v>-109076.45927389535</v>
      </c>
      <c r="E181" s="16">
        <f t="shared" si="17"/>
        <v>-84419.459273895351</v>
      </c>
      <c r="F181" s="16">
        <f t="shared" si="18"/>
        <v>-24657</v>
      </c>
      <c r="G181" s="13">
        <f t="shared" si="19"/>
        <v>7312504.6790811364</v>
      </c>
    </row>
    <row r="182" spans="1:7" x14ac:dyDescent="0.45">
      <c r="A182">
        <f t="shared" si="15"/>
        <v>14</v>
      </c>
      <c r="B182">
        <v>165</v>
      </c>
      <c r="C182" s="16">
        <f t="shared" si="16"/>
        <v>-17997615.78019274</v>
      </c>
      <c r="D182" s="16">
        <f>IF(A182&lt;=$B$3,PMT(利回り!$F$5/12,利回り!$F$4*12,利回り!$F$2,0),0)</f>
        <v>-109076.45927389535</v>
      </c>
      <c r="E182" s="16">
        <f t="shared" si="17"/>
        <v>-84700.459273895351</v>
      </c>
      <c r="F182" s="16">
        <f t="shared" si="18"/>
        <v>-24376</v>
      </c>
      <c r="G182" s="13">
        <f t="shared" si="19"/>
        <v>7227804.2198072411</v>
      </c>
    </row>
    <row r="183" spans="1:7" x14ac:dyDescent="0.45">
      <c r="A183">
        <f t="shared" si="15"/>
        <v>14</v>
      </c>
      <c r="B183">
        <v>166</v>
      </c>
      <c r="C183" s="16">
        <f t="shared" si="16"/>
        <v>-18106692.239466637</v>
      </c>
      <c r="D183" s="16">
        <f>IF(A183&lt;=$B$3,PMT(利回り!$F$5/12,利回り!$F$4*12,利回り!$F$2,0),0)</f>
        <v>-109076.45927389535</v>
      </c>
      <c r="E183" s="16">
        <f t="shared" si="17"/>
        <v>-84983.459273895351</v>
      </c>
      <c r="F183" s="16">
        <f t="shared" si="18"/>
        <v>-24093</v>
      </c>
      <c r="G183" s="13">
        <f t="shared" si="19"/>
        <v>7142820.7605333459</v>
      </c>
    </row>
    <row r="184" spans="1:7" x14ac:dyDescent="0.45">
      <c r="A184">
        <f t="shared" si="15"/>
        <v>14</v>
      </c>
      <c r="B184">
        <v>167</v>
      </c>
      <c r="C184" s="16">
        <f t="shared" si="16"/>
        <v>-18215768.698740534</v>
      </c>
      <c r="D184" s="16">
        <f>IF(A184&lt;=$B$3,PMT(利回り!$F$5/12,利回り!$F$4*12,利回り!$F$2,0),0)</f>
        <v>-109076.45927389535</v>
      </c>
      <c r="E184" s="16">
        <f t="shared" si="17"/>
        <v>-85266.459273895351</v>
      </c>
      <c r="F184" s="16">
        <f t="shared" si="18"/>
        <v>-23810</v>
      </c>
      <c r="G184" s="13">
        <f t="shared" si="19"/>
        <v>7057554.3012594506</v>
      </c>
    </row>
    <row r="185" spans="1:7" x14ac:dyDescent="0.45">
      <c r="A185">
        <f t="shared" si="15"/>
        <v>14</v>
      </c>
      <c r="B185">
        <v>168</v>
      </c>
      <c r="C185" s="16">
        <f t="shared" si="16"/>
        <v>-18324845.158014432</v>
      </c>
      <c r="D185" s="16">
        <f>IF(A185&lt;=$B$3,PMT(利回り!$F$5/12,利回り!$F$4*12,利回り!$F$2,0),0)</f>
        <v>-109076.45927389535</v>
      </c>
      <c r="E185" s="16">
        <f t="shared" si="17"/>
        <v>-85550.459273895351</v>
      </c>
      <c r="F185" s="16">
        <f t="shared" si="18"/>
        <v>-23526</v>
      </c>
      <c r="G185" s="13">
        <f t="shared" si="19"/>
        <v>6972003.8419855554</v>
      </c>
    </row>
    <row r="186" spans="1:7" x14ac:dyDescent="0.45">
      <c r="A186">
        <f t="shared" si="15"/>
        <v>15</v>
      </c>
      <c r="B186">
        <v>169</v>
      </c>
      <c r="C186" s="16">
        <f t="shared" si="16"/>
        <v>-18433921.617288329</v>
      </c>
      <c r="D186" s="16">
        <f>IF(A186&lt;=$B$3,PMT(利回り!$F$5/12,利回り!$F$4*12,利回り!$F$2,0),0)</f>
        <v>-109076.45927389535</v>
      </c>
      <c r="E186" s="16">
        <f t="shared" si="17"/>
        <v>-85835.459273895351</v>
      </c>
      <c r="F186" s="16">
        <f t="shared" si="18"/>
        <v>-23241</v>
      </c>
      <c r="G186" s="13">
        <f t="shared" si="19"/>
        <v>6886168.3827116601</v>
      </c>
    </row>
    <row r="187" spans="1:7" x14ac:dyDescent="0.45">
      <c r="A187">
        <f t="shared" si="15"/>
        <v>15</v>
      </c>
      <c r="B187">
        <v>170</v>
      </c>
      <c r="C187" s="16">
        <f t="shared" si="16"/>
        <v>-18542998.076562226</v>
      </c>
      <c r="D187" s="16">
        <f>IF(A187&lt;=$B$3,PMT(利回り!$F$5/12,利回り!$F$4*12,利回り!$F$2,0),0)</f>
        <v>-109076.45927389535</v>
      </c>
      <c r="E187" s="16">
        <f t="shared" si="17"/>
        <v>-86122.459273895351</v>
      </c>
      <c r="F187" s="16">
        <f t="shared" si="18"/>
        <v>-22954</v>
      </c>
      <c r="G187" s="13">
        <f t="shared" si="19"/>
        <v>6800045.9234377649</v>
      </c>
    </row>
    <row r="188" spans="1:7" x14ac:dyDescent="0.45">
      <c r="A188">
        <f t="shared" si="15"/>
        <v>15</v>
      </c>
      <c r="B188">
        <v>171</v>
      </c>
      <c r="C188" s="16">
        <f t="shared" si="16"/>
        <v>-18652074.535836123</v>
      </c>
      <c r="D188" s="16">
        <f>IF(A188&lt;=$B$3,PMT(利回り!$F$5/12,利回り!$F$4*12,利回り!$F$2,0),0)</f>
        <v>-109076.45927389535</v>
      </c>
      <c r="E188" s="16">
        <f t="shared" si="17"/>
        <v>-86409.459273895351</v>
      </c>
      <c r="F188" s="16">
        <f t="shared" si="18"/>
        <v>-22667</v>
      </c>
      <c r="G188" s="13">
        <f t="shared" si="19"/>
        <v>6713636.4641638696</v>
      </c>
    </row>
    <row r="189" spans="1:7" x14ac:dyDescent="0.45">
      <c r="A189">
        <f t="shared" si="15"/>
        <v>15</v>
      </c>
      <c r="B189">
        <v>172</v>
      </c>
      <c r="C189" s="16">
        <f t="shared" si="16"/>
        <v>-18761150.99511002</v>
      </c>
      <c r="D189" s="16">
        <f>IF(A189&lt;=$B$3,PMT(利回り!$F$5/12,利回り!$F$4*12,利回り!$F$2,0),0)</f>
        <v>-109076.45927389535</v>
      </c>
      <c r="E189" s="16">
        <f t="shared" si="17"/>
        <v>-86697.459273895351</v>
      </c>
      <c r="F189" s="16">
        <f t="shared" si="18"/>
        <v>-22379</v>
      </c>
      <c r="G189" s="13">
        <f t="shared" si="19"/>
        <v>6626939.0048899744</v>
      </c>
    </row>
    <row r="190" spans="1:7" x14ac:dyDescent="0.45">
      <c r="A190">
        <f t="shared" si="15"/>
        <v>15</v>
      </c>
      <c r="B190">
        <v>173</v>
      </c>
      <c r="C190" s="16">
        <f t="shared" si="16"/>
        <v>-18870227.454383917</v>
      </c>
      <c r="D190" s="16">
        <f>IF(A190&lt;=$B$3,PMT(利回り!$F$5/12,利回り!$F$4*12,利回り!$F$2,0),0)</f>
        <v>-109076.45927389535</v>
      </c>
      <c r="E190" s="16">
        <f t="shared" si="17"/>
        <v>-86986.459273895351</v>
      </c>
      <c r="F190" s="16">
        <f t="shared" si="18"/>
        <v>-22090</v>
      </c>
      <c r="G190" s="13">
        <f t="shared" si="19"/>
        <v>6539952.5456160791</v>
      </c>
    </row>
    <row r="191" spans="1:7" x14ac:dyDescent="0.45">
      <c r="A191">
        <f t="shared" si="15"/>
        <v>15</v>
      </c>
      <c r="B191">
        <v>174</v>
      </c>
      <c r="C191" s="16">
        <f t="shared" si="16"/>
        <v>-18979303.913657814</v>
      </c>
      <c r="D191" s="16">
        <f>IF(A191&lt;=$B$3,PMT(利回り!$F$5/12,利回り!$F$4*12,利回り!$F$2,0),0)</f>
        <v>-109076.45927389535</v>
      </c>
      <c r="E191" s="16">
        <f t="shared" si="17"/>
        <v>-87276.459273895351</v>
      </c>
      <c r="F191" s="16">
        <f t="shared" si="18"/>
        <v>-21800</v>
      </c>
      <c r="G191" s="13">
        <f t="shared" si="19"/>
        <v>6452676.0863421839</v>
      </c>
    </row>
    <row r="192" spans="1:7" x14ac:dyDescent="0.45">
      <c r="A192">
        <f t="shared" si="15"/>
        <v>15</v>
      </c>
      <c r="B192">
        <v>175</v>
      </c>
      <c r="C192" s="16">
        <f t="shared" si="16"/>
        <v>-19088380.372931711</v>
      </c>
      <c r="D192" s="16">
        <f>IF(A192&lt;=$B$3,PMT(利回り!$F$5/12,利回り!$F$4*12,利回り!$F$2,0),0)</f>
        <v>-109076.45927389535</v>
      </c>
      <c r="E192" s="16">
        <f t="shared" si="17"/>
        <v>-87567.459273895351</v>
      </c>
      <c r="F192" s="16">
        <f t="shared" si="18"/>
        <v>-21509</v>
      </c>
      <c r="G192" s="13">
        <f t="shared" si="19"/>
        <v>6365108.6270682886</v>
      </c>
    </row>
    <row r="193" spans="1:7" x14ac:dyDescent="0.45">
      <c r="A193">
        <f t="shared" si="15"/>
        <v>15</v>
      </c>
      <c r="B193">
        <v>176</v>
      </c>
      <c r="C193" s="16">
        <f t="shared" si="16"/>
        <v>-19197456.832205608</v>
      </c>
      <c r="D193" s="16">
        <f>IF(A193&lt;=$B$3,PMT(利回り!$F$5/12,利回り!$F$4*12,利回り!$F$2,0),0)</f>
        <v>-109076.45927389535</v>
      </c>
      <c r="E193" s="16">
        <f t="shared" si="17"/>
        <v>-87858.459273895351</v>
      </c>
      <c r="F193" s="16">
        <f t="shared" si="18"/>
        <v>-21218</v>
      </c>
      <c r="G193" s="13">
        <f t="shared" si="19"/>
        <v>6277250.1677943934</v>
      </c>
    </row>
    <row r="194" spans="1:7" x14ac:dyDescent="0.45">
      <c r="A194">
        <f t="shared" si="15"/>
        <v>15</v>
      </c>
      <c r="B194">
        <v>177</v>
      </c>
      <c r="C194" s="16">
        <f t="shared" si="16"/>
        <v>-19306533.291479506</v>
      </c>
      <c r="D194" s="16">
        <f>IF(A194&lt;=$B$3,PMT(利回り!$F$5/12,利回り!$F$4*12,利回り!$F$2,0),0)</f>
        <v>-109076.45927389535</v>
      </c>
      <c r="E194" s="16">
        <f t="shared" si="17"/>
        <v>-88151.459273895351</v>
      </c>
      <c r="F194" s="16">
        <f t="shared" si="18"/>
        <v>-20925</v>
      </c>
      <c r="G194" s="13">
        <f t="shared" si="19"/>
        <v>6189098.7085204981</v>
      </c>
    </row>
    <row r="195" spans="1:7" x14ac:dyDescent="0.45">
      <c r="A195">
        <f t="shared" si="15"/>
        <v>15</v>
      </c>
      <c r="B195">
        <v>178</v>
      </c>
      <c r="C195" s="16">
        <f t="shared" si="16"/>
        <v>-19415609.750753403</v>
      </c>
      <c r="D195" s="16">
        <f>IF(A195&lt;=$B$3,PMT(利回り!$F$5/12,利回り!$F$4*12,利回り!$F$2,0),0)</f>
        <v>-109076.45927389535</v>
      </c>
      <c r="E195" s="16">
        <f t="shared" si="17"/>
        <v>-88445.459273895351</v>
      </c>
      <c r="F195" s="16">
        <f t="shared" si="18"/>
        <v>-20631</v>
      </c>
      <c r="G195" s="13">
        <f t="shared" si="19"/>
        <v>6100653.2492466029</v>
      </c>
    </row>
    <row r="196" spans="1:7" x14ac:dyDescent="0.45">
      <c r="A196">
        <f t="shared" si="15"/>
        <v>15</v>
      </c>
      <c r="B196">
        <v>179</v>
      </c>
      <c r="C196" s="16">
        <f t="shared" si="16"/>
        <v>-19524686.2100273</v>
      </c>
      <c r="D196" s="16">
        <f>IF(A196&lt;=$B$3,PMT(利回り!$F$5/12,利回り!$F$4*12,利回り!$F$2,0),0)</f>
        <v>-109076.45927389535</v>
      </c>
      <c r="E196" s="16">
        <f t="shared" si="17"/>
        <v>-88740.459273895351</v>
      </c>
      <c r="F196" s="16">
        <f t="shared" si="18"/>
        <v>-20336</v>
      </c>
      <c r="G196" s="13">
        <f t="shared" si="19"/>
        <v>6011912.7899727076</v>
      </c>
    </row>
    <row r="197" spans="1:7" x14ac:dyDescent="0.45">
      <c r="A197">
        <f t="shared" si="15"/>
        <v>15</v>
      </c>
      <c r="B197">
        <v>180</v>
      </c>
      <c r="C197" s="16">
        <f t="shared" si="16"/>
        <v>-19633762.669301197</v>
      </c>
      <c r="D197" s="16">
        <f>IF(A197&lt;=$B$3,PMT(利回り!$F$5/12,利回り!$F$4*12,利回り!$F$2,0),0)</f>
        <v>-109076.45927389535</v>
      </c>
      <c r="E197" s="16">
        <f t="shared" si="17"/>
        <v>-89036.459273895351</v>
      </c>
      <c r="F197" s="16">
        <f t="shared" si="18"/>
        <v>-20040</v>
      </c>
      <c r="G197" s="13">
        <f t="shared" si="19"/>
        <v>5922876.3306988124</v>
      </c>
    </row>
    <row r="198" spans="1:7" x14ac:dyDescent="0.45">
      <c r="A198">
        <f t="shared" si="15"/>
        <v>16</v>
      </c>
      <c r="B198">
        <v>181</v>
      </c>
      <c r="C198" s="16">
        <f t="shared" si="16"/>
        <v>-19742839.128575094</v>
      </c>
      <c r="D198" s="16">
        <f>IF(A198&lt;=$B$3,PMT(利回り!$F$5/12,利回り!$F$4*12,利回り!$F$2,0),0)</f>
        <v>-109076.45927389535</v>
      </c>
      <c r="E198" s="16">
        <f t="shared" si="17"/>
        <v>-89333.459273895351</v>
      </c>
      <c r="F198" s="16">
        <f t="shared" si="18"/>
        <v>-19743</v>
      </c>
      <c r="G198" s="13">
        <f t="shared" si="19"/>
        <v>5833542.8714249171</v>
      </c>
    </row>
    <row r="199" spans="1:7" x14ac:dyDescent="0.45">
      <c r="A199">
        <f t="shared" si="15"/>
        <v>16</v>
      </c>
      <c r="B199">
        <v>182</v>
      </c>
      <c r="C199" s="16">
        <f t="shared" si="16"/>
        <v>-19851915.587848991</v>
      </c>
      <c r="D199" s="16">
        <f>IF(A199&lt;=$B$3,PMT(利回り!$F$5/12,利回り!$F$4*12,利回り!$F$2,0),0)</f>
        <v>-109076.45927389535</v>
      </c>
      <c r="E199" s="16">
        <f t="shared" si="17"/>
        <v>-89630.459273895351</v>
      </c>
      <c r="F199" s="16">
        <f t="shared" si="18"/>
        <v>-19446</v>
      </c>
      <c r="G199" s="13">
        <f t="shared" si="19"/>
        <v>5743912.4121510219</v>
      </c>
    </row>
    <row r="200" spans="1:7" x14ac:dyDescent="0.45">
      <c r="A200">
        <f t="shared" si="15"/>
        <v>16</v>
      </c>
      <c r="B200">
        <v>183</v>
      </c>
      <c r="C200" s="16">
        <f t="shared" si="16"/>
        <v>-19960992.047122888</v>
      </c>
      <c r="D200" s="16">
        <f>IF(A200&lt;=$B$3,PMT(利回り!$F$5/12,利回り!$F$4*12,利回り!$F$2,0),0)</f>
        <v>-109076.45927389535</v>
      </c>
      <c r="E200" s="16">
        <f t="shared" si="17"/>
        <v>-89929.459273895351</v>
      </c>
      <c r="F200" s="16">
        <f t="shared" si="18"/>
        <v>-19147</v>
      </c>
      <c r="G200" s="13">
        <f t="shared" si="19"/>
        <v>5653982.9528771266</v>
      </c>
    </row>
    <row r="201" spans="1:7" x14ac:dyDescent="0.45">
      <c r="A201">
        <f t="shared" si="15"/>
        <v>16</v>
      </c>
      <c r="B201">
        <v>184</v>
      </c>
      <c r="C201" s="16">
        <f t="shared" si="16"/>
        <v>-20070068.506396785</v>
      </c>
      <c r="D201" s="16">
        <f>IF(A201&lt;=$B$3,PMT(利回り!$F$5/12,利回り!$F$4*12,利回り!$F$2,0),0)</f>
        <v>-109076.45927389535</v>
      </c>
      <c r="E201" s="16">
        <f t="shared" si="17"/>
        <v>-90229.459273895351</v>
      </c>
      <c r="F201" s="16">
        <f t="shared" si="18"/>
        <v>-18847</v>
      </c>
      <c r="G201" s="13">
        <f t="shared" si="19"/>
        <v>5563753.4936032314</v>
      </c>
    </row>
    <row r="202" spans="1:7" x14ac:dyDescent="0.45">
      <c r="A202">
        <f t="shared" si="15"/>
        <v>16</v>
      </c>
      <c r="B202">
        <v>185</v>
      </c>
      <c r="C202" s="16">
        <f t="shared" si="16"/>
        <v>-20179144.965670682</v>
      </c>
      <c r="D202" s="16">
        <f>IF(A202&lt;=$B$3,PMT(利回り!$F$5/12,利回り!$F$4*12,利回り!$F$2,0),0)</f>
        <v>-109076.45927389535</v>
      </c>
      <c r="E202" s="16">
        <f t="shared" si="17"/>
        <v>-90530.459273895351</v>
      </c>
      <c r="F202" s="16">
        <f t="shared" si="18"/>
        <v>-18546</v>
      </c>
      <c r="G202" s="13">
        <f t="shared" si="19"/>
        <v>5473223.0343293361</v>
      </c>
    </row>
    <row r="203" spans="1:7" x14ac:dyDescent="0.45">
      <c r="A203">
        <f t="shared" si="15"/>
        <v>16</v>
      </c>
      <c r="B203">
        <v>186</v>
      </c>
      <c r="C203" s="16">
        <f t="shared" si="16"/>
        <v>-20288221.42494458</v>
      </c>
      <c r="D203" s="16">
        <f>IF(A203&lt;=$B$3,PMT(利回り!$F$5/12,利回り!$F$4*12,利回り!$F$2,0),0)</f>
        <v>-109076.45927389535</v>
      </c>
      <c r="E203" s="16">
        <f t="shared" si="17"/>
        <v>-90831.459273895351</v>
      </c>
      <c r="F203" s="16">
        <f t="shared" si="18"/>
        <v>-18245</v>
      </c>
      <c r="G203" s="13">
        <f t="shared" si="19"/>
        <v>5382391.5750554409</v>
      </c>
    </row>
    <row r="204" spans="1:7" x14ac:dyDescent="0.45">
      <c r="A204">
        <f t="shared" si="15"/>
        <v>16</v>
      </c>
      <c r="B204">
        <v>187</v>
      </c>
      <c r="C204" s="16">
        <f t="shared" si="16"/>
        <v>-20397297.884218477</v>
      </c>
      <c r="D204" s="16">
        <f>IF(A204&lt;=$B$3,PMT(利回り!$F$5/12,利回り!$F$4*12,利回り!$F$2,0),0)</f>
        <v>-109076.45927389535</v>
      </c>
      <c r="E204" s="16">
        <f t="shared" si="17"/>
        <v>-91134.459273895351</v>
      </c>
      <c r="F204" s="16">
        <f t="shared" si="18"/>
        <v>-17942</v>
      </c>
      <c r="G204" s="13">
        <f t="shared" si="19"/>
        <v>5291257.1157815456</v>
      </c>
    </row>
    <row r="205" spans="1:7" x14ac:dyDescent="0.45">
      <c r="A205">
        <f t="shared" si="15"/>
        <v>16</v>
      </c>
      <c r="B205">
        <v>188</v>
      </c>
      <c r="C205" s="16">
        <f t="shared" si="16"/>
        <v>-20506374.343492374</v>
      </c>
      <c r="D205" s="16">
        <f>IF(A205&lt;=$B$3,PMT(利回り!$F$5/12,利回り!$F$4*12,利回り!$F$2,0),0)</f>
        <v>-109076.45927389535</v>
      </c>
      <c r="E205" s="16">
        <f t="shared" si="17"/>
        <v>-91438.459273895351</v>
      </c>
      <c r="F205" s="16">
        <f t="shared" si="18"/>
        <v>-17638</v>
      </c>
      <c r="G205" s="13">
        <f t="shared" si="19"/>
        <v>5199818.6565076504</v>
      </c>
    </row>
    <row r="206" spans="1:7" x14ac:dyDescent="0.45">
      <c r="A206">
        <f t="shared" si="15"/>
        <v>16</v>
      </c>
      <c r="B206">
        <v>189</v>
      </c>
      <c r="C206" s="16">
        <f t="shared" si="16"/>
        <v>-20615450.802766271</v>
      </c>
      <c r="D206" s="16">
        <f>IF(A206&lt;=$B$3,PMT(利回り!$F$5/12,利回り!$F$4*12,利回り!$F$2,0),0)</f>
        <v>-109076.45927389535</v>
      </c>
      <c r="E206" s="16">
        <f t="shared" si="17"/>
        <v>-91743.459273895351</v>
      </c>
      <c r="F206" s="16">
        <f t="shared" si="18"/>
        <v>-17333</v>
      </c>
      <c r="G206" s="13">
        <f t="shared" si="19"/>
        <v>5108075.1972337551</v>
      </c>
    </row>
    <row r="207" spans="1:7" x14ac:dyDescent="0.45">
      <c r="A207">
        <f t="shared" si="15"/>
        <v>16</v>
      </c>
      <c r="B207">
        <v>190</v>
      </c>
      <c r="C207" s="16">
        <f t="shared" si="16"/>
        <v>-20724527.262040168</v>
      </c>
      <c r="D207" s="16">
        <f>IF(A207&lt;=$B$3,PMT(利回り!$F$5/12,利回り!$F$4*12,利回り!$F$2,0),0)</f>
        <v>-109076.45927389535</v>
      </c>
      <c r="E207" s="16">
        <f t="shared" si="17"/>
        <v>-92049.459273895351</v>
      </c>
      <c r="F207" s="16">
        <f t="shared" si="18"/>
        <v>-17027</v>
      </c>
      <c r="G207" s="13">
        <f t="shared" si="19"/>
        <v>5016025.7379598599</v>
      </c>
    </row>
    <row r="208" spans="1:7" x14ac:dyDescent="0.45">
      <c r="A208">
        <f t="shared" si="15"/>
        <v>16</v>
      </c>
      <c r="B208">
        <v>191</v>
      </c>
      <c r="C208" s="16">
        <f t="shared" si="16"/>
        <v>-20833603.721314065</v>
      </c>
      <c r="D208" s="16">
        <f>IF(A208&lt;=$B$3,PMT(利回り!$F$5/12,利回り!$F$4*12,利回り!$F$2,0),0)</f>
        <v>-109076.45927389535</v>
      </c>
      <c r="E208" s="16">
        <f t="shared" si="17"/>
        <v>-92355.459273895351</v>
      </c>
      <c r="F208" s="16">
        <f t="shared" si="18"/>
        <v>-16721</v>
      </c>
      <c r="G208" s="13">
        <f t="shared" si="19"/>
        <v>4923670.2786859646</v>
      </c>
    </row>
    <row r="209" spans="1:7" x14ac:dyDescent="0.45">
      <c r="A209">
        <f t="shared" si="15"/>
        <v>16</v>
      </c>
      <c r="B209">
        <v>192</v>
      </c>
      <c r="C209" s="16">
        <f t="shared" si="16"/>
        <v>-20942680.180587962</v>
      </c>
      <c r="D209" s="16">
        <f>IF(A209&lt;=$B$3,PMT(利回り!$F$5/12,利回り!$F$4*12,利回り!$F$2,0),0)</f>
        <v>-109076.45927389535</v>
      </c>
      <c r="E209" s="16">
        <f t="shared" si="17"/>
        <v>-92663.459273895351</v>
      </c>
      <c r="F209" s="16">
        <f t="shared" si="18"/>
        <v>-16413</v>
      </c>
      <c r="G209" s="13">
        <f t="shared" si="19"/>
        <v>4831006.8194120694</v>
      </c>
    </row>
    <row r="210" spans="1:7" x14ac:dyDescent="0.45">
      <c r="A210">
        <f t="shared" si="15"/>
        <v>17</v>
      </c>
      <c r="B210">
        <v>193</v>
      </c>
      <c r="C210" s="16">
        <f t="shared" si="16"/>
        <v>-21051756.639861859</v>
      </c>
      <c r="D210" s="16">
        <f>IF(A210&lt;=$B$3,PMT(利回り!$F$5/12,利回り!$F$4*12,利回り!$F$2,0),0)</f>
        <v>-109076.45927389535</v>
      </c>
      <c r="E210" s="16">
        <f t="shared" si="17"/>
        <v>-92972.459273895351</v>
      </c>
      <c r="F210" s="16">
        <f t="shared" si="18"/>
        <v>-16104</v>
      </c>
      <c r="G210" s="13">
        <f t="shared" si="19"/>
        <v>4738034.3601381741</v>
      </c>
    </row>
    <row r="211" spans="1:7" x14ac:dyDescent="0.45">
      <c r="A211">
        <f t="shared" ref="A211:A274" si="20">INT((B211-1)/12)+1</f>
        <v>17</v>
      </c>
      <c r="B211">
        <v>194</v>
      </c>
      <c r="C211" s="16">
        <f t="shared" si="16"/>
        <v>-21160833.099135756</v>
      </c>
      <c r="D211" s="16">
        <f>IF(A211&lt;=$B$3,PMT(利回り!$F$5/12,利回り!$F$4*12,利回り!$F$2,0),0)</f>
        <v>-109076.45927389535</v>
      </c>
      <c r="E211" s="16">
        <f t="shared" si="17"/>
        <v>-93282.459273895351</v>
      </c>
      <c r="F211" s="16">
        <f t="shared" si="18"/>
        <v>-15794</v>
      </c>
      <c r="G211" s="13">
        <f t="shared" si="19"/>
        <v>4644751.9008642789</v>
      </c>
    </row>
    <row r="212" spans="1:7" x14ac:dyDescent="0.45">
      <c r="A212">
        <f t="shared" si="20"/>
        <v>17</v>
      </c>
      <c r="B212">
        <v>195</v>
      </c>
      <c r="C212" s="16">
        <f t="shared" si="16"/>
        <v>-21269909.558409654</v>
      </c>
      <c r="D212" s="16">
        <f>IF(A212&lt;=$B$3,PMT(利回り!$F$5/12,利回り!$F$4*12,利回り!$F$2,0),0)</f>
        <v>-109076.45927389535</v>
      </c>
      <c r="E212" s="16">
        <f t="shared" si="17"/>
        <v>-93593.459273895351</v>
      </c>
      <c r="F212" s="16">
        <f t="shared" si="18"/>
        <v>-15483</v>
      </c>
      <c r="G212" s="13">
        <f t="shared" si="19"/>
        <v>4551158.4415903836</v>
      </c>
    </row>
    <row r="213" spans="1:7" x14ac:dyDescent="0.45">
      <c r="A213">
        <f t="shared" si="20"/>
        <v>17</v>
      </c>
      <c r="B213">
        <v>196</v>
      </c>
      <c r="C213" s="16">
        <f t="shared" ref="C213:C276" si="21">C212+D212</f>
        <v>-21378986.017683551</v>
      </c>
      <c r="D213" s="16">
        <f>IF(A213&lt;=$B$3,PMT(利回り!$F$5/12,利回り!$F$4*12,利回り!$F$2,0),0)</f>
        <v>-109076.45927389535</v>
      </c>
      <c r="E213" s="16">
        <f t="shared" ref="E213:E276" si="22">D213-F213</f>
        <v>-93905.459273895351</v>
      </c>
      <c r="F213" s="16">
        <f t="shared" ref="F213:F276" si="23">-ROUNDUP(IF(A213&lt;=$B$3,($B$4/12)*G212,0),0)</f>
        <v>-15171</v>
      </c>
      <c r="G213" s="13">
        <f t="shared" ref="G213:G276" si="24">IF(G212+E213&gt;0,G212+E213,0)</f>
        <v>4457252.9823164884</v>
      </c>
    </row>
    <row r="214" spans="1:7" x14ac:dyDescent="0.45">
      <c r="A214">
        <f t="shared" si="20"/>
        <v>17</v>
      </c>
      <c r="B214">
        <v>197</v>
      </c>
      <c r="C214" s="16">
        <f t="shared" si="21"/>
        <v>-21488062.476957448</v>
      </c>
      <c r="D214" s="16">
        <f>IF(A214&lt;=$B$3,PMT(利回り!$F$5/12,利回り!$F$4*12,利回り!$F$2,0),0)</f>
        <v>-109076.45927389535</v>
      </c>
      <c r="E214" s="16">
        <f t="shared" si="22"/>
        <v>-94218.459273895351</v>
      </c>
      <c r="F214" s="16">
        <f t="shared" si="23"/>
        <v>-14858</v>
      </c>
      <c r="G214" s="13">
        <f t="shared" si="24"/>
        <v>4363034.5230425932</v>
      </c>
    </row>
    <row r="215" spans="1:7" x14ac:dyDescent="0.45">
      <c r="A215">
        <f t="shared" si="20"/>
        <v>17</v>
      </c>
      <c r="B215">
        <v>198</v>
      </c>
      <c r="C215" s="16">
        <f t="shared" si="21"/>
        <v>-21597138.936231345</v>
      </c>
      <c r="D215" s="16">
        <f>IF(A215&lt;=$B$3,PMT(利回り!$F$5/12,利回り!$F$4*12,利回り!$F$2,0),0)</f>
        <v>-109076.45927389535</v>
      </c>
      <c r="E215" s="16">
        <f t="shared" si="22"/>
        <v>-94532.459273895351</v>
      </c>
      <c r="F215" s="16">
        <f t="shared" si="23"/>
        <v>-14544</v>
      </c>
      <c r="G215" s="13">
        <f t="shared" si="24"/>
        <v>4268502.0637686979</v>
      </c>
    </row>
    <row r="216" spans="1:7" x14ac:dyDescent="0.45">
      <c r="A216">
        <f t="shared" si="20"/>
        <v>17</v>
      </c>
      <c r="B216">
        <v>199</v>
      </c>
      <c r="C216" s="16">
        <f t="shared" si="21"/>
        <v>-21706215.395505242</v>
      </c>
      <c r="D216" s="16">
        <f>IF(A216&lt;=$B$3,PMT(利回り!$F$5/12,利回り!$F$4*12,利回り!$F$2,0),0)</f>
        <v>-109076.45927389535</v>
      </c>
      <c r="E216" s="16">
        <f t="shared" si="22"/>
        <v>-94847.459273895351</v>
      </c>
      <c r="F216" s="16">
        <f t="shared" si="23"/>
        <v>-14229</v>
      </c>
      <c r="G216" s="13">
        <f t="shared" si="24"/>
        <v>4173654.6044948027</v>
      </c>
    </row>
    <row r="217" spans="1:7" x14ac:dyDescent="0.45">
      <c r="A217">
        <f t="shared" si="20"/>
        <v>17</v>
      </c>
      <c r="B217">
        <v>200</v>
      </c>
      <c r="C217" s="16">
        <f t="shared" si="21"/>
        <v>-21815291.854779139</v>
      </c>
      <c r="D217" s="16">
        <f>IF(A217&lt;=$B$3,PMT(利回り!$F$5/12,利回り!$F$4*12,利回り!$F$2,0),0)</f>
        <v>-109076.45927389535</v>
      </c>
      <c r="E217" s="16">
        <f t="shared" si="22"/>
        <v>-95163.459273895351</v>
      </c>
      <c r="F217" s="16">
        <f t="shared" si="23"/>
        <v>-13913</v>
      </c>
      <c r="G217" s="13">
        <f t="shared" si="24"/>
        <v>4078491.1452209074</v>
      </c>
    </row>
    <row r="218" spans="1:7" x14ac:dyDescent="0.45">
      <c r="A218">
        <f t="shared" si="20"/>
        <v>17</v>
      </c>
      <c r="B218">
        <v>201</v>
      </c>
      <c r="C218" s="16">
        <f t="shared" si="21"/>
        <v>-21924368.314053036</v>
      </c>
      <c r="D218" s="16">
        <f>IF(A218&lt;=$B$3,PMT(利回り!$F$5/12,利回り!$F$4*12,利回り!$F$2,0),0)</f>
        <v>-109076.45927389535</v>
      </c>
      <c r="E218" s="16">
        <f t="shared" si="22"/>
        <v>-95481.459273895351</v>
      </c>
      <c r="F218" s="16">
        <f t="shared" si="23"/>
        <v>-13595</v>
      </c>
      <c r="G218" s="13">
        <f t="shared" si="24"/>
        <v>3983009.6859470122</v>
      </c>
    </row>
    <row r="219" spans="1:7" x14ac:dyDescent="0.45">
      <c r="A219">
        <f t="shared" si="20"/>
        <v>17</v>
      </c>
      <c r="B219">
        <v>202</v>
      </c>
      <c r="C219" s="16">
        <f t="shared" si="21"/>
        <v>-22033444.773326933</v>
      </c>
      <c r="D219" s="16">
        <f>IF(A219&lt;=$B$3,PMT(利回り!$F$5/12,利回り!$F$4*12,利回り!$F$2,0),0)</f>
        <v>-109076.45927389535</v>
      </c>
      <c r="E219" s="16">
        <f t="shared" si="22"/>
        <v>-95799.459273895351</v>
      </c>
      <c r="F219" s="16">
        <f t="shared" si="23"/>
        <v>-13277</v>
      </c>
      <c r="G219" s="13">
        <f t="shared" si="24"/>
        <v>3887210.2266731169</v>
      </c>
    </row>
    <row r="220" spans="1:7" x14ac:dyDescent="0.45">
      <c r="A220">
        <f t="shared" si="20"/>
        <v>17</v>
      </c>
      <c r="B220">
        <v>203</v>
      </c>
      <c r="C220" s="16">
        <f t="shared" si="21"/>
        <v>-22142521.23260083</v>
      </c>
      <c r="D220" s="16">
        <f>IF(A220&lt;=$B$3,PMT(利回り!$F$5/12,利回り!$F$4*12,利回り!$F$2,0),0)</f>
        <v>-109076.45927389535</v>
      </c>
      <c r="E220" s="16">
        <f t="shared" si="22"/>
        <v>-96118.459273895351</v>
      </c>
      <c r="F220" s="16">
        <f t="shared" si="23"/>
        <v>-12958</v>
      </c>
      <c r="G220" s="13">
        <f t="shared" si="24"/>
        <v>3791091.7673992217</v>
      </c>
    </row>
    <row r="221" spans="1:7" x14ac:dyDescent="0.45">
      <c r="A221">
        <f t="shared" si="20"/>
        <v>17</v>
      </c>
      <c r="B221">
        <v>204</v>
      </c>
      <c r="C221" s="16">
        <f t="shared" si="21"/>
        <v>-22251597.691874728</v>
      </c>
      <c r="D221" s="16">
        <f>IF(A221&lt;=$B$3,PMT(利回り!$F$5/12,利回り!$F$4*12,利回り!$F$2,0),0)</f>
        <v>-109076.45927389535</v>
      </c>
      <c r="E221" s="16">
        <f t="shared" si="22"/>
        <v>-96439.459273895351</v>
      </c>
      <c r="F221" s="16">
        <f t="shared" si="23"/>
        <v>-12637</v>
      </c>
      <c r="G221" s="13">
        <f t="shared" si="24"/>
        <v>3694652.3081253264</v>
      </c>
    </row>
    <row r="222" spans="1:7" x14ac:dyDescent="0.45">
      <c r="A222">
        <f t="shared" si="20"/>
        <v>18</v>
      </c>
      <c r="B222">
        <v>205</v>
      </c>
      <c r="C222" s="16">
        <f t="shared" si="21"/>
        <v>-22360674.151148625</v>
      </c>
      <c r="D222" s="16">
        <f>IF(A222&lt;=$B$3,PMT(利回り!$F$5/12,利回り!$F$4*12,利回り!$F$2,0),0)</f>
        <v>-109076.45927389535</v>
      </c>
      <c r="E222" s="16">
        <f t="shared" si="22"/>
        <v>-96760.459273895351</v>
      </c>
      <c r="F222" s="16">
        <f t="shared" si="23"/>
        <v>-12316</v>
      </c>
      <c r="G222" s="13">
        <f t="shared" si="24"/>
        <v>3597891.8488514312</v>
      </c>
    </row>
    <row r="223" spans="1:7" x14ac:dyDescent="0.45">
      <c r="A223">
        <f t="shared" si="20"/>
        <v>18</v>
      </c>
      <c r="B223">
        <v>206</v>
      </c>
      <c r="C223" s="16">
        <f t="shared" si="21"/>
        <v>-22469750.610422522</v>
      </c>
      <c r="D223" s="16">
        <f>IF(A223&lt;=$B$3,PMT(利回り!$F$5/12,利回り!$F$4*12,利回り!$F$2,0),0)</f>
        <v>-109076.45927389535</v>
      </c>
      <c r="E223" s="16">
        <f t="shared" si="22"/>
        <v>-97083.459273895351</v>
      </c>
      <c r="F223" s="16">
        <f t="shared" si="23"/>
        <v>-11993</v>
      </c>
      <c r="G223" s="13">
        <f t="shared" si="24"/>
        <v>3500808.3895775359</v>
      </c>
    </row>
    <row r="224" spans="1:7" x14ac:dyDescent="0.45">
      <c r="A224">
        <f t="shared" si="20"/>
        <v>18</v>
      </c>
      <c r="B224">
        <v>207</v>
      </c>
      <c r="C224" s="16">
        <f t="shared" si="21"/>
        <v>-22578827.069696419</v>
      </c>
      <c r="D224" s="16">
        <f>IF(A224&lt;=$B$3,PMT(利回り!$F$5/12,利回り!$F$4*12,利回り!$F$2,0),0)</f>
        <v>-109076.45927389535</v>
      </c>
      <c r="E224" s="16">
        <f t="shared" si="22"/>
        <v>-97406.459273895351</v>
      </c>
      <c r="F224" s="16">
        <f t="shared" si="23"/>
        <v>-11670</v>
      </c>
      <c r="G224" s="13">
        <f t="shared" si="24"/>
        <v>3403401.9303036407</v>
      </c>
    </row>
    <row r="225" spans="1:7" x14ac:dyDescent="0.45">
      <c r="A225">
        <f t="shared" si="20"/>
        <v>18</v>
      </c>
      <c r="B225">
        <v>208</v>
      </c>
      <c r="C225" s="16">
        <f t="shared" si="21"/>
        <v>-22687903.528970316</v>
      </c>
      <c r="D225" s="16">
        <f>IF(A225&lt;=$B$3,PMT(利回り!$F$5/12,利回り!$F$4*12,利回り!$F$2,0),0)</f>
        <v>-109076.45927389535</v>
      </c>
      <c r="E225" s="16">
        <f t="shared" si="22"/>
        <v>-97731.459273895351</v>
      </c>
      <c r="F225" s="16">
        <f t="shared" si="23"/>
        <v>-11345</v>
      </c>
      <c r="G225" s="13">
        <f t="shared" si="24"/>
        <v>3305670.4710297454</v>
      </c>
    </row>
    <row r="226" spans="1:7" x14ac:dyDescent="0.45">
      <c r="A226">
        <f t="shared" si="20"/>
        <v>18</v>
      </c>
      <c r="B226">
        <v>209</v>
      </c>
      <c r="C226" s="16">
        <f t="shared" si="21"/>
        <v>-22796979.988244213</v>
      </c>
      <c r="D226" s="16">
        <f>IF(A226&lt;=$B$3,PMT(利回り!$F$5/12,利回り!$F$4*12,利回り!$F$2,0),0)</f>
        <v>-109076.45927389535</v>
      </c>
      <c r="E226" s="16">
        <f t="shared" si="22"/>
        <v>-98057.459273895351</v>
      </c>
      <c r="F226" s="16">
        <f t="shared" si="23"/>
        <v>-11019</v>
      </c>
      <c r="G226" s="13">
        <f t="shared" si="24"/>
        <v>3207613.0117558502</v>
      </c>
    </row>
    <row r="227" spans="1:7" x14ac:dyDescent="0.45">
      <c r="A227">
        <f t="shared" si="20"/>
        <v>18</v>
      </c>
      <c r="B227">
        <v>210</v>
      </c>
      <c r="C227" s="16">
        <f t="shared" si="21"/>
        <v>-22906056.44751811</v>
      </c>
      <c r="D227" s="16">
        <f>IF(A227&lt;=$B$3,PMT(利回り!$F$5/12,利回り!$F$4*12,利回り!$F$2,0),0)</f>
        <v>-109076.45927389535</v>
      </c>
      <c r="E227" s="16">
        <f t="shared" si="22"/>
        <v>-98383.459273895351</v>
      </c>
      <c r="F227" s="16">
        <f t="shared" si="23"/>
        <v>-10693</v>
      </c>
      <c r="G227" s="13">
        <f t="shared" si="24"/>
        <v>3109229.5524819549</v>
      </c>
    </row>
    <row r="228" spans="1:7" x14ac:dyDescent="0.45">
      <c r="A228">
        <f t="shared" si="20"/>
        <v>18</v>
      </c>
      <c r="B228">
        <v>211</v>
      </c>
      <c r="C228" s="16">
        <f t="shared" si="21"/>
        <v>-23015132.906792007</v>
      </c>
      <c r="D228" s="16">
        <f>IF(A228&lt;=$B$3,PMT(利回り!$F$5/12,利回り!$F$4*12,利回り!$F$2,0),0)</f>
        <v>-109076.45927389535</v>
      </c>
      <c r="E228" s="16">
        <f t="shared" si="22"/>
        <v>-98711.459273895351</v>
      </c>
      <c r="F228" s="16">
        <f t="shared" si="23"/>
        <v>-10365</v>
      </c>
      <c r="G228" s="13">
        <f t="shared" si="24"/>
        <v>3010518.0932080597</v>
      </c>
    </row>
    <row r="229" spans="1:7" x14ac:dyDescent="0.45">
      <c r="A229">
        <f t="shared" si="20"/>
        <v>18</v>
      </c>
      <c r="B229">
        <v>212</v>
      </c>
      <c r="C229" s="16">
        <f t="shared" si="21"/>
        <v>-23124209.366065904</v>
      </c>
      <c r="D229" s="16">
        <f>IF(A229&lt;=$B$3,PMT(利回り!$F$5/12,利回り!$F$4*12,利回り!$F$2,0),0)</f>
        <v>-109076.45927389535</v>
      </c>
      <c r="E229" s="16">
        <f t="shared" si="22"/>
        <v>-99040.459273895351</v>
      </c>
      <c r="F229" s="16">
        <f t="shared" si="23"/>
        <v>-10036</v>
      </c>
      <c r="G229" s="13">
        <f t="shared" si="24"/>
        <v>2911477.6339341644</v>
      </c>
    </row>
    <row r="230" spans="1:7" x14ac:dyDescent="0.45">
      <c r="A230">
        <f t="shared" si="20"/>
        <v>18</v>
      </c>
      <c r="B230">
        <v>213</v>
      </c>
      <c r="C230" s="16">
        <f t="shared" si="21"/>
        <v>-23233285.825339802</v>
      </c>
      <c r="D230" s="16">
        <f>IF(A230&lt;=$B$3,PMT(利回り!$F$5/12,利回り!$F$4*12,利回り!$F$2,0),0)</f>
        <v>-109076.45927389535</v>
      </c>
      <c r="E230" s="16">
        <f t="shared" si="22"/>
        <v>-99371.459273895351</v>
      </c>
      <c r="F230" s="16">
        <f t="shared" si="23"/>
        <v>-9705</v>
      </c>
      <c r="G230" s="13">
        <f t="shared" si="24"/>
        <v>2812106.1746602692</v>
      </c>
    </row>
    <row r="231" spans="1:7" x14ac:dyDescent="0.45">
      <c r="A231">
        <f t="shared" si="20"/>
        <v>18</v>
      </c>
      <c r="B231">
        <v>214</v>
      </c>
      <c r="C231" s="16">
        <f t="shared" si="21"/>
        <v>-23342362.284613699</v>
      </c>
      <c r="D231" s="16">
        <f>IF(A231&lt;=$B$3,PMT(利回り!$F$5/12,利回り!$F$4*12,利回り!$F$2,0),0)</f>
        <v>-109076.45927389535</v>
      </c>
      <c r="E231" s="16">
        <f t="shared" si="22"/>
        <v>-99702.459273895351</v>
      </c>
      <c r="F231" s="16">
        <f t="shared" si="23"/>
        <v>-9374</v>
      </c>
      <c r="G231" s="13">
        <f t="shared" si="24"/>
        <v>2712403.7153863739</v>
      </c>
    </row>
    <row r="232" spans="1:7" x14ac:dyDescent="0.45">
      <c r="A232">
        <f t="shared" si="20"/>
        <v>18</v>
      </c>
      <c r="B232">
        <v>215</v>
      </c>
      <c r="C232" s="16">
        <f t="shared" si="21"/>
        <v>-23451438.743887596</v>
      </c>
      <c r="D232" s="16">
        <f>IF(A232&lt;=$B$3,PMT(利回り!$F$5/12,利回り!$F$4*12,利回り!$F$2,0),0)</f>
        <v>-109076.45927389535</v>
      </c>
      <c r="E232" s="16">
        <f t="shared" si="22"/>
        <v>-100034.45927389535</v>
      </c>
      <c r="F232" s="16">
        <f t="shared" si="23"/>
        <v>-9042</v>
      </c>
      <c r="G232" s="13">
        <f t="shared" si="24"/>
        <v>2612369.2561124787</v>
      </c>
    </row>
    <row r="233" spans="1:7" x14ac:dyDescent="0.45">
      <c r="A233">
        <f t="shared" si="20"/>
        <v>18</v>
      </c>
      <c r="B233">
        <v>216</v>
      </c>
      <c r="C233" s="16">
        <f t="shared" si="21"/>
        <v>-23560515.203161493</v>
      </c>
      <c r="D233" s="16">
        <f>IF(A233&lt;=$B$3,PMT(利回り!$F$5/12,利回り!$F$4*12,利回り!$F$2,0),0)</f>
        <v>-109076.45927389535</v>
      </c>
      <c r="E233" s="16">
        <f t="shared" si="22"/>
        <v>-100368.45927389535</v>
      </c>
      <c r="F233" s="16">
        <f t="shared" si="23"/>
        <v>-8708</v>
      </c>
      <c r="G233" s="13">
        <f t="shared" si="24"/>
        <v>2512000.7968385834</v>
      </c>
    </row>
    <row r="234" spans="1:7" x14ac:dyDescent="0.45">
      <c r="A234">
        <f t="shared" si="20"/>
        <v>19</v>
      </c>
      <c r="B234">
        <v>217</v>
      </c>
      <c r="C234" s="16">
        <f t="shared" si="21"/>
        <v>-23669591.66243539</v>
      </c>
      <c r="D234" s="16">
        <f>IF(A234&lt;=$B$3,PMT(利回り!$F$5/12,利回り!$F$4*12,利回り!$F$2,0),0)</f>
        <v>-109076.45927389535</v>
      </c>
      <c r="E234" s="16">
        <f t="shared" si="22"/>
        <v>-100702.45927389535</v>
      </c>
      <c r="F234" s="16">
        <f t="shared" si="23"/>
        <v>-8374</v>
      </c>
      <c r="G234" s="13">
        <f t="shared" si="24"/>
        <v>2411298.3375646882</v>
      </c>
    </row>
    <row r="235" spans="1:7" x14ac:dyDescent="0.45">
      <c r="A235">
        <f t="shared" si="20"/>
        <v>19</v>
      </c>
      <c r="B235">
        <v>218</v>
      </c>
      <c r="C235" s="16">
        <f t="shared" si="21"/>
        <v>-23778668.121709287</v>
      </c>
      <c r="D235" s="16">
        <f>IF(A235&lt;=$B$3,PMT(利回り!$F$5/12,利回り!$F$4*12,利回り!$F$2,0),0)</f>
        <v>-109076.45927389535</v>
      </c>
      <c r="E235" s="16">
        <f t="shared" si="22"/>
        <v>-101038.45927389535</v>
      </c>
      <c r="F235" s="16">
        <f t="shared" si="23"/>
        <v>-8038</v>
      </c>
      <c r="G235" s="13">
        <f t="shared" si="24"/>
        <v>2310259.8782907929</v>
      </c>
    </row>
    <row r="236" spans="1:7" x14ac:dyDescent="0.45">
      <c r="A236">
        <f t="shared" si="20"/>
        <v>19</v>
      </c>
      <c r="B236">
        <v>219</v>
      </c>
      <c r="C236" s="16">
        <f t="shared" si="21"/>
        <v>-23887744.580983184</v>
      </c>
      <c r="D236" s="16">
        <f>IF(A236&lt;=$B$3,PMT(利回り!$F$5/12,利回り!$F$4*12,利回り!$F$2,0),0)</f>
        <v>-109076.45927389535</v>
      </c>
      <c r="E236" s="16">
        <f t="shared" si="22"/>
        <v>-101375.45927389535</v>
      </c>
      <c r="F236" s="16">
        <f t="shared" si="23"/>
        <v>-7701</v>
      </c>
      <c r="G236" s="13">
        <f t="shared" si="24"/>
        <v>2208884.4190168977</v>
      </c>
    </row>
    <row r="237" spans="1:7" x14ac:dyDescent="0.45">
      <c r="A237">
        <f t="shared" si="20"/>
        <v>19</v>
      </c>
      <c r="B237">
        <v>220</v>
      </c>
      <c r="C237" s="16">
        <f t="shared" si="21"/>
        <v>-23996821.040257081</v>
      </c>
      <c r="D237" s="16">
        <f>IF(A237&lt;=$B$3,PMT(利回り!$F$5/12,利回り!$F$4*12,利回り!$F$2,0),0)</f>
        <v>-109076.45927389535</v>
      </c>
      <c r="E237" s="16">
        <f t="shared" si="22"/>
        <v>-101713.45927389535</v>
      </c>
      <c r="F237" s="16">
        <f t="shared" si="23"/>
        <v>-7363</v>
      </c>
      <c r="G237" s="13">
        <f t="shared" si="24"/>
        <v>2107170.9597430024</v>
      </c>
    </row>
    <row r="238" spans="1:7" x14ac:dyDescent="0.45">
      <c r="A238">
        <f t="shared" si="20"/>
        <v>19</v>
      </c>
      <c r="B238">
        <v>221</v>
      </c>
      <c r="C238" s="16">
        <f t="shared" si="21"/>
        <v>-24105897.499530979</v>
      </c>
      <c r="D238" s="16">
        <f>IF(A238&lt;=$B$3,PMT(利回り!$F$5/12,利回り!$F$4*12,利回り!$F$2,0),0)</f>
        <v>-109076.45927389535</v>
      </c>
      <c r="E238" s="16">
        <f t="shared" si="22"/>
        <v>-102052.45927389535</v>
      </c>
      <c r="F238" s="16">
        <f t="shared" si="23"/>
        <v>-7024</v>
      </c>
      <c r="G238" s="13">
        <f t="shared" si="24"/>
        <v>2005118.5004691072</v>
      </c>
    </row>
    <row r="239" spans="1:7" x14ac:dyDescent="0.45">
      <c r="A239">
        <f t="shared" si="20"/>
        <v>19</v>
      </c>
      <c r="B239">
        <v>222</v>
      </c>
      <c r="C239" s="16">
        <f t="shared" si="21"/>
        <v>-24214973.958804876</v>
      </c>
      <c r="D239" s="16">
        <f>IF(A239&lt;=$B$3,PMT(利回り!$F$5/12,利回り!$F$4*12,利回り!$F$2,0),0)</f>
        <v>-109076.45927389535</v>
      </c>
      <c r="E239" s="16">
        <f t="shared" si="22"/>
        <v>-102392.45927389535</v>
      </c>
      <c r="F239" s="16">
        <f t="shared" si="23"/>
        <v>-6684</v>
      </c>
      <c r="G239" s="13">
        <f t="shared" si="24"/>
        <v>1902726.0411952119</v>
      </c>
    </row>
    <row r="240" spans="1:7" x14ac:dyDescent="0.45">
      <c r="A240">
        <f t="shared" si="20"/>
        <v>19</v>
      </c>
      <c r="B240">
        <v>223</v>
      </c>
      <c r="C240" s="16">
        <f t="shared" si="21"/>
        <v>-24324050.418078773</v>
      </c>
      <c r="D240" s="16">
        <f>IF(A240&lt;=$B$3,PMT(利回り!$F$5/12,利回り!$F$4*12,利回り!$F$2,0),0)</f>
        <v>-109076.45927389535</v>
      </c>
      <c r="E240" s="16">
        <f t="shared" si="22"/>
        <v>-102733.45927389535</v>
      </c>
      <c r="F240" s="16">
        <f t="shared" si="23"/>
        <v>-6343</v>
      </c>
      <c r="G240" s="13">
        <f t="shared" si="24"/>
        <v>1799992.5819213167</v>
      </c>
    </row>
    <row r="241" spans="1:7" x14ac:dyDescent="0.45">
      <c r="A241">
        <f t="shared" si="20"/>
        <v>19</v>
      </c>
      <c r="B241">
        <v>224</v>
      </c>
      <c r="C241" s="16">
        <f t="shared" si="21"/>
        <v>-24433126.87735267</v>
      </c>
      <c r="D241" s="16">
        <f>IF(A241&lt;=$B$3,PMT(利回り!$F$5/12,利回り!$F$4*12,利回り!$F$2,0),0)</f>
        <v>-109076.45927389535</v>
      </c>
      <c r="E241" s="16">
        <f t="shared" si="22"/>
        <v>-103076.45927389535</v>
      </c>
      <c r="F241" s="16">
        <f t="shared" si="23"/>
        <v>-6000</v>
      </c>
      <c r="G241" s="13">
        <f t="shared" si="24"/>
        <v>1696916.1226474214</v>
      </c>
    </row>
    <row r="242" spans="1:7" x14ac:dyDescent="0.45">
      <c r="A242">
        <f t="shared" si="20"/>
        <v>19</v>
      </c>
      <c r="B242">
        <v>225</v>
      </c>
      <c r="C242" s="16">
        <f t="shared" si="21"/>
        <v>-24542203.336626567</v>
      </c>
      <c r="D242" s="16">
        <f>IF(A242&lt;=$B$3,PMT(利回り!$F$5/12,利回り!$F$4*12,利回り!$F$2,0),0)</f>
        <v>-109076.45927389535</v>
      </c>
      <c r="E242" s="16">
        <f t="shared" si="22"/>
        <v>-103419.45927389535</v>
      </c>
      <c r="F242" s="16">
        <f t="shared" si="23"/>
        <v>-5657</v>
      </c>
      <c r="G242" s="13">
        <f t="shared" si="24"/>
        <v>1593496.6633735262</v>
      </c>
    </row>
    <row r="243" spans="1:7" x14ac:dyDescent="0.45">
      <c r="A243">
        <f t="shared" si="20"/>
        <v>19</v>
      </c>
      <c r="B243">
        <v>226</v>
      </c>
      <c r="C243" s="16">
        <f t="shared" si="21"/>
        <v>-24651279.795900464</v>
      </c>
      <c r="D243" s="16">
        <f>IF(A243&lt;=$B$3,PMT(利回り!$F$5/12,利回り!$F$4*12,利回り!$F$2,0),0)</f>
        <v>-109076.45927389535</v>
      </c>
      <c r="E243" s="16">
        <f t="shared" si="22"/>
        <v>-103764.45927389535</v>
      </c>
      <c r="F243" s="16">
        <f t="shared" si="23"/>
        <v>-5312</v>
      </c>
      <c r="G243" s="13">
        <f t="shared" si="24"/>
        <v>1489732.2040996309</v>
      </c>
    </row>
    <row r="244" spans="1:7" x14ac:dyDescent="0.45">
      <c r="A244">
        <f t="shared" si="20"/>
        <v>19</v>
      </c>
      <c r="B244">
        <v>227</v>
      </c>
      <c r="C244" s="16">
        <f t="shared" si="21"/>
        <v>-24760356.255174361</v>
      </c>
      <c r="D244" s="16">
        <f>IF(A244&lt;=$B$3,PMT(利回り!$F$5/12,利回り!$F$4*12,利回り!$F$2,0),0)</f>
        <v>-109076.45927389535</v>
      </c>
      <c r="E244" s="16">
        <f t="shared" si="22"/>
        <v>-104110.45927389535</v>
      </c>
      <c r="F244" s="16">
        <f t="shared" si="23"/>
        <v>-4966</v>
      </c>
      <c r="G244" s="13">
        <f t="shared" si="24"/>
        <v>1385621.7448257357</v>
      </c>
    </row>
    <row r="245" spans="1:7" x14ac:dyDescent="0.45">
      <c r="A245">
        <f t="shared" si="20"/>
        <v>19</v>
      </c>
      <c r="B245">
        <v>228</v>
      </c>
      <c r="C245" s="16">
        <f t="shared" si="21"/>
        <v>-24869432.714448258</v>
      </c>
      <c r="D245" s="16">
        <f>IF(A245&lt;=$B$3,PMT(利回り!$F$5/12,利回り!$F$4*12,利回り!$F$2,0),0)</f>
        <v>-109076.45927389535</v>
      </c>
      <c r="E245" s="16">
        <f t="shared" si="22"/>
        <v>-104457.45927389535</v>
      </c>
      <c r="F245" s="16">
        <f t="shared" si="23"/>
        <v>-4619</v>
      </c>
      <c r="G245" s="13">
        <f t="shared" si="24"/>
        <v>1281164.2855518404</v>
      </c>
    </row>
    <row r="246" spans="1:7" x14ac:dyDescent="0.45">
      <c r="A246">
        <f t="shared" si="20"/>
        <v>20</v>
      </c>
      <c r="B246">
        <v>229</v>
      </c>
      <c r="C246" s="16">
        <f t="shared" si="21"/>
        <v>-24978509.173722155</v>
      </c>
      <c r="D246" s="16">
        <f>IF(A246&lt;=$B$3,PMT(利回り!$F$5/12,利回り!$F$4*12,利回り!$F$2,0),0)</f>
        <v>-109076.45927389535</v>
      </c>
      <c r="E246" s="16">
        <f t="shared" si="22"/>
        <v>-104805.45927389535</v>
      </c>
      <c r="F246" s="16">
        <f t="shared" si="23"/>
        <v>-4271</v>
      </c>
      <c r="G246" s="13">
        <f t="shared" si="24"/>
        <v>1176358.8262779452</v>
      </c>
    </row>
    <row r="247" spans="1:7" x14ac:dyDescent="0.45">
      <c r="A247">
        <f t="shared" si="20"/>
        <v>20</v>
      </c>
      <c r="B247">
        <v>230</v>
      </c>
      <c r="C247" s="16">
        <f t="shared" si="21"/>
        <v>-25087585.632996053</v>
      </c>
      <c r="D247" s="16">
        <f>IF(A247&lt;=$B$3,PMT(利回り!$F$5/12,利回り!$F$4*12,利回り!$F$2,0),0)</f>
        <v>-109076.45927389535</v>
      </c>
      <c r="E247" s="16">
        <f t="shared" si="22"/>
        <v>-105154.45927389535</v>
      </c>
      <c r="F247" s="16">
        <f t="shared" si="23"/>
        <v>-3922</v>
      </c>
      <c r="G247" s="13">
        <f t="shared" si="24"/>
        <v>1071204.3670040499</v>
      </c>
    </row>
    <row r="248" spans="1:7" x14ac:dyDescent="0.45">
      <c r="A248">
        <f t="shared" si="20"/>
        <v>20</v>
      </c>
      <c r="B248">
        <v>231</v>
      </c>
      <c r="C248" s="16">
        <f t="shared" si="21"/>
        <v>-25196662.09226995</v>
      </c>
      <c r="D248" s="16">
        <f>IF(A248&lt;=$B$3,PMT(利回り!$F$5/12,利回り!$F$4*12,利回り!$F$2,0),0)</f>
        <v>-109076.45927389535</v>
      </c>
      <c r="E248" s="16">
        <f t="shared" si="22"/>
        <v>-105505.45927389535</v>
      </c>
      <c r="F248" s="16">
        <f t="shared" si="23"/>
        <v>-3571</v>
      </c>
      <c r="G248" s="13">
        <f t="shared" si="24"/>
        <v>965698.90773015458</v>
      </c>
    </row>
    <row r="249" spans="1:7" x14ac:dyDescent="0.45">
      <c r="A249">
        <f t="shared" si="20"/>
        <v>20</v>
      </c>
      <c r="B249">
        <v>232</v>
      </c>
      <c r="C249" s="16">
        <f t="shared" si="21"/>
        <v>-25305738.551543847</v>
      </c>
      <c r="D249" s="16">
        <f>IF(A249&lt;=$B$3,PMT(利回り!$F$5/12,利回り!$F$4*12,利回り!$F$2,0),0)</f>
        <v>-109076.45927389535</v>
      </c>
      <c r="E249" s="16">
        <f t="shared" si="22"/>
        <v>-105857.45927389535</v>
      </c>
      <c r="F249" s="16">
        <f t="shared" si="23"/>
        <v>-3219</v>
      </c>
      <c r="G249" s="13">
        <f t="shared" si="24"/>
        <v>859841.44845625921</v>
      </c>
    </row>
    <row r="250" spans="1:7" x14ac:dyDescent="0.45">
      <c r="A250">
        <f t="shared" si="20"/>
        <v>20</v>
      </c>
      <c r="B250">
        <v>233</v>
      </c>
      <c r="C250" s="16">
        <f t="shared" si="21"/>
        <v>-25414815.010817744</v>
      </c>
      <c r="D250" s="16">
        <f>IF(A250&lt;=$B$3,PMT(利回り!$F$5/12,利回り!$F$4*12,利回り!$F$2,0),0)</f>
        <v>-109076.45927389535</v>
      </c>
      <c r="E250" s="16">
        <f t="shared" si="22"/>
        <v>-106209.45927389535</v>
      </c>
      <c r="F250" s="16">
        <f t="shared" si="23"/>
        <v>-2867</v>
      </c>
      <c r="G250" s="13">
        <f t="shared" si="24"/>
        <v>753631.98918236385</v>
      </c>
    </row>
    <row r="251" spans="1:7" x14ac:dyDescent="0.45">
      <c r="A251">
        <f t="shared" si="20"/>
        <v>20</v>
      </c>
      <c r="B251">
        <v>234</v>
      </c>
      <c r="C251" s="16">
        <f t="shared" si="21"/>
        <v>-25523891.470091641</v>
      </c>
      <c r="D251" s="16">
        <f>IF(A251&lt;=$B$3,PMT(利回り!$F$5/12,利回り!$F$4*12,利回り!$F$2,0),0)</f>
        <v>-109076.45927389535</v>
      </c>
      <c r="E251" s="16">
        <f t="shared" si="22"/>
        <v>-106563.45927389535</v>
      </c>
      <c r="F251" s="16">
        <f t="shared" si="23"/>
        <v>-2513</v>
      </c>
      <c r="G251" s="13">
        <f t="shared" si="24"/>
        <v>647068.52990846848</v>
      </c>
    </row>
    <row r="252" spans="1:7" x14ac:dyDescent="0.45">
      <c r="A252">
        <f t="shared" si="20"/>
        <v>20</v>
      </c>
      <c r="B252">
        <v>235</v>
      </c>
      <c r="C252" s="16">
        <f t="shared" si="21"/>
        <v>-25632967.929365538</v>
      </c>
      <c r="D252" s="16">
        <f>IF(A252&lt;=$B$3,PMT(利回り!$F$5/12,利回り!$F$4*12,利回り!$F$2,0),0)</f>
        <v>-109076.45927389535</v>
      </c>
      <c r="E252" s="16">
        <f t="shared" si="22"/>
        <v>-106919.45927389535</v>
      </c>
      <c r="F252" s="16">
        <f t="shared" si="23"/>
        <v>-2157</v>
      </c>
      <c r="G252" s="13">
        <f t="shared" si="24"/>
        <v>540149.07063457312</v>
      </c>
    </row>
    <row r="253" spans="1:7" x14ac:dyDescent="0.45">
      <c r="A253">
        <f t="shared" si="20"/>
        <v>20</v>
      </c>
      <c r="B253">
        <v>236</v>
      </c>
      <c r="C253" s="16">
        <f t="shared" si="21"/>
        <v>-25742044.388639435</v>
      </c>
      <c r="D253" s="16">
        <f>IF(A253&lt;=$B$3,PMT(利回り!$F$5/12,利回り!$F$4*12,利回り!$F$2,0),0)</f>
        <v>-109076.45927389535</v>
      </c>
      <c r="E253" s="16">
        <f t="shared" si="22"/>
        <v>-107275.45927389535</v>
      </c>
      <c r="F253" s="16">
        <f t="shared" si="23"/>
        <v>-1801</v>
      </c>
      <c r="G253" s="13">
        <f t="shared" si="24"/>
        <v>432873.61136067775</v>
      </c>
    </row>
    <row r="254" spans="1:7" x14ac:dyDescent="0.45">
      <c r="A254">
        <f t="shared" si="20"/>
        <v>20</v>
      </c>
      <c r="B254">
        <v>237</v>
      </c>
      <c r="C254" s="16">
        <f t="shared" si="21"/>
        <v>-25851120.847913332</v>
      </c>
      <c r="D254" s="16">
        <f>IF(A254&lt;=$B$3,PMT(利回り!$F$5/12,利回り!$F$4*12,利回り!$F$2,0),0)</f>
        <v>-109076.45927389535</v>
      </c>
      <c r="E254" s="16">
        <f t="shared" si="22"/>
        <v>-107633.45927389535</v>
      </c>
      <c r="F254" s="16">
        <f t="shared" si="23"/>
        <v>-1443</v>
      </c>
      <c r="G254" s="13">
        <f t="shared" si="24"/>
        <v>325240.15208678239</v>
      </c>
    </row>
    <row r="255" spans="1:7" x14ac:dyDescent="0.45">
      <c r="A255">
        <f t="shared" si="20"/>
        <v>20</v>
      </c>
      <c r="B255">
        <v>238</v>
      </c>
      <c r="C255" s="16">
        <f t="shared" si="21"/>
        <v>-25960197.307187229</v>
      </c>
      <c r="D255" s="16">
        <f>IF(A255&lt;=$B$3,PMT(利回り!$F$5/12,利回り!$F$4*12,利回り!$F$2,0),0)</f>
        <v>-109076.45927389535</v>
      </c>
      <c r="E255" s="16">
        <f t="shared" si="22"/>
        <v>-107991.45927389535</v>
      </c>
      <c r="F255" s="16">
        <f t="shared" si="23"/>
        <v>-1085</v>
      </c>
      <c r="G255" s="13">
        <f t="shared" si="24"/>
        <v>217248.69281288702</v>
      </c>
    </row>
    <row r="256" spans="1:7" x14ac:dyDescent="0.45">
      <c r="A256">
        <f t="shared" si="20"/>
        <v>20</v>
      </c>
      <c r="B256">
        <v>239</v>
      </c>
      <c r="C256" s="16">
        <f t="shared" si="21"/>
        <v>-26069273.766461127</v>
      </c>
      <c r="D256" s="16">
        <f>IF(A256&lt;=$B$3,PMT(利回り!$F$5/12,利回り!$F$4*12,利回り!$F$2,0),0)</f>
        <v>-109076.45927389535</v>
      </c>
      <c r="E256" s="16">
        <f t="shared" si="22"/>
        <v>-108351.45927389535</v>
      </c>
      <c r="F256" s="16">
        <f t="shared" si="23"/>
        <v>-725</v>
      </c>
      <c r="G256" s="13">
        <f t="shared" si="24"/>
        <v>108897.23353899167</v>
      </c>
    </row>
    <row r="257" spans="1:7" x14ac:dyDescent="0.45">
      <c r="A257">
        <f t="shared" si="20"/>
        <v>20</v>
      </c>
      <c r="B257">
        <v>240</v>
      </c>
      <c r="C257" s="16">
        <f t="shared" si="21"/>
        <v>-26178350.225735024</v>
      </c>
      <c r="D257" s="16">
        <f>IF(A257&lt;=$B$3,PMT(利回り!$F$5/12,利回り!$F$4*12,利回り!$F$2,0),0)</f>
        <v>-109076.45927389535</v>
      </c>
      <c r="E257" s="16">
        <f t="shared" si="22"/>
        <v>-108713.45927389535</v>
      </c>
      <c r="F257" s="16">
        <f t="shared" si="23"/>
        <v>-363</v>
      </c>
      <c r="G257" s="13">
        <f t="shared" si="24"/>
        <v>183.77426509631914</v>
      </c>
    </row>
    <row r="258" spans="1:7" x14ac:dyDescent="0.45">
      <c r="A258">
        <f t="shared" si="20"/>
        <v>21</v>
      </c>
      <c r="B258">
        <v>241</v>
      </c>
      <c r="C258" s="16">
        <f t="shared" si="21"/>
        <v>-26287426.685008921</v>
      </c>
      <c r="D258" s="16">
        <f>IF(A258&lt;=$B$3,PMT(利回り!$F$5/12,利回り!$F$4*12,利回り!$F$2,0),0)</f>
        <v>0</v>
      </c>
      <c r="E258" s="16">
        <f t="shared" si="22"/>
        <v>0</v>
      </c>
      <c r="F258" s="16">
        <f t="shared" si="23"/>
        <v>0</v>
      </c>
      <c r="G258" s="13">
        <f t="shared" si="24"/>
        <v>183.77426509631914</v>
      </c>
    </row>
    <row r="259" spans="1:7" x14ac:dyDescent="0.45">
      <c r="A259">
        <f t="shared" si="20"/>
        <v>21</v>
      </c>
      <c r="B259">
        <v>242</v>
      </c>
      <c r="C259" s="16">
        <f t="shared" si="21"/>
        <v>-26287426.685008921</v>
      </c>
      <c r="D259" s="16">
        <f>IF(A259&lt;=$B$3,PMT(利回り!$F$5/12,利回り!$F$4*12,利回り!$F$2,0),0)</f>
        <v>0</v>
      </c>
      <c r="E259" s="16">
        <f t="shared" si="22"/>
        <v>0</v>
      </c>
      <c r="F259" s="16">
        <f t="shared" si="23"/>
        <v>0</v>
      </c>
      <c r="G259" s="13">
        <f t="shared" si="24"/>
        <v>183.77426509631914</v>
      </c>
    </row>
    <row r="260" spans="1:7" x14ac:dyDescent="0.45">
      <c r="A260">
        <f t="shared" si="20"/>
        <v>21</v>
      </c>
      <c r="B260">
        <v>243</v>
      </c>
      <c r="C260" s="16">
        <f t="shared" si="21"/>
        <v>-26287426.685008921</v>
      </c>
      <c r="D260" s="16">
        <f>IF(A260&lt;=$B$3,PMT(利回り!$F$5/12,利回り!$F$4*12,利回り!$F$2,0),0)</f>
        <v>0</v>
      </c>
      <c r="E260" s="16">
        <f t="shared" si="22"/>
        <v>0</v>
      </c>
      <c r="F260" s="16">
        <f t="shared" si="23"/>
        <v>0</v>
      </c>
      <c r="G260" s="13">
        <f t="shared" si="24"/>
        <v>183.77426509631914</v>
      </c>
    </row>
    <row r="261" spans="1:7" x14ac:dyDescent="0.45">
      <c r="A261">
        <f t="shared" si="20"/>
        <v>21</v>
      </c>
      <c r="B261">
        <v>244</v>
      </c>
      <c r="C261" s="16">
        <f t="shared" si="21"/>
        <v>-26287426.685008921</v>
      </c>
      <c r="D261" s="16">
        <f>IF(A261&lt;=$B$3,PMT(利回り!$F$5/12,利回り!$F$4*12,利回り!$F$2,0),0)</f>
        <v>0</v>
      </c>
      <c r="E261" s="16">
        <f t="shared" si="22"/>
        <v>0</v>
      </c>
      <c r="F261" s="16">
        <f t="shared" si="23"/>
        <v>0</v>
      </c>
      <c r="G261" s="13">
        <f t="shared" si="24"/>
        <v>183.77426509631914</v>
      </c>
    </row>
    <row r="262" spans="1:7" x14ac:dyDescent="0.45">
      <c r="A262">
        <f t="shared" si="20"/>
        <v>21</v>
      </c>
      <c r="B262">
        <v>245</v>
      </c>
      <c r="C262" s="16">
        <f t="shared" si="21"/>
        <v>-26287426.685008921</v>
      </c>
      <c r="D262" s="16">
        <f>IF(A262&lt;=$B$3,PMT(利回り!$F$5/12,利回り!$F$4*12,利回り!$F$2,0),0)</f>
        <v>0</v>
      </c>
      <c r="E262" s="16">
        <f t="shared" si="22"/>
        <v>0</v>
      </c>
      <c r="F262" s="16">
        <f t="shared" si="23"/>
        <v>0</v>
      </c>
      <c r="G262" s="13">
        <f t="shared" si="24"/>
        <v>183.77426509631914</v>
      </c>
    </row>
    <row r="263" spans="1:7" x14ac:dyDescent="0.45">
      <c r="A263">
        <f t="shared" si="20"/>
        <v>21</v>
      </c>
      <c r="B263">
        <v>246</v>
      </c>
      <c r="C263" s="16">
        <f t="shared" si="21"/>
        <v>-26287426.685008921</v>
      </c>
      <c r="D263" s="16">
        <f>IF(A263&lt;=$B$3,PMT(利回り!$F$5/12,利回り!$F$4*12,利回り!$F$2,0),0)</f>
        <v>0</v>
      </c>
      <c r="E263" s="16">
        <f t="shared" si="22"/>
        <v>0</v>
      </c>
      <c r="F263" s="16">
        <f t="shared" si="23"/>
        <v>0</v>
      </c>
      <c r="G263" s="13">
        <f t="shared" si="24"/>
        <v>183.77426509631914</v>
      </c>
    </row>
    <row r="264" spans="1:7" x14ac:dyDescent="0.45">
      <c r="A264">
        <f t="shared" si="20"/>
        <v>21</v>
      </c>
      <c r="B264">
        <v>247</v>
      </c>
      <c r="C264" s="16">
        <f t="shared" si="21"/>
        <v>-26287426.685008921</v>
      </c>
      <c r="D264" s="16">
        <f>IF(A264&lt;=$B$3,PMT(利回り!$F$5/12,利回り!$F$4*12,利回り!$F$2,0),0)</f>
        <v>0</v>
      </c>
      <c r="E264" s="16">
        <f t="shared" si="22"/>
        <v>0</v>
      </c>
      <c r="F264" s="16">
        <f t="shared" si="23"/>
        <v>0</v>
      </c>
      <c r="G264" s="13">
        <f t="shared" si="24"/>
        <v>183.77426509631914</v>
      </c>
    </row>
    <row r="265" spans="1:7" x14ac:dyDescent="0.45">
      <c r="A265">
        <f t="shared" si="20"/>
        <v>21</v>
      </c>
      <c r="B265">
        <v>248</v>
      </c>
      <c r="C265" s="16">
        <f t="shared" si="21"/>
        <v>-26287426.685008921</v>
      </c>
      <c r="D265" s="16">
        <f>IF(A265&lt;=$B$3,PMT(利回り!$F$5/12,利回り!$F$4*12,利回り!$F$2,0),0)</f>
        <v>0</v>
      </c>
      <c r="E265" s="16">
        <f t="shared" si="22"/>
        <v>0</v>
      </c>
      <c r="F265" s="16">
        <f t="shared" si="23"/>
        <v>0</v>
      </c>
      <c r="G265" s="13">
        <f t="shared" si="24"/>
        <v>183.77426509631914</v>
      </c>
    </row>
    <row r="266" spans="1:7" x14ac:dyDescent="0.45">
      <c r="A266">
        <f t="shared" si="20"/>
        <v>21</v>
      </c>
      <c r="B266">
        <v>249</v>
      </c>
      <c r="C266" s="16">
        <f t="shared" si="21"/>
        <v>-26287426.685008921</v>
      </c>
      <c r="D266" s="16">
        <f>IF(A266&lt;=$B$3,PMT(利回り!$F$5/12,利回り!$F$4*12,利回り!$F$2,0),0)</f>
        <v>0</v>
      </c>
      <c r="E266" s="16">
        <f t="shared" si="22"/>
        <v>0</v>
      </c>
      <c r="F266" s="16">
        <f t="shared" si="23"/>
        <v>0</v>
      </c>
      <c r="G266" s="13">
        <f t="shared" si="24"/>
        <v>183.77426509631914</v>
      </c>
    </row>
    <row r="267" spans="1:7" x14ac:dyDescent="0.45">
      <c r="A267">
        <f t="shared" si="20"/>
        <v>21</v>
      </c>
      <c r="B267">
        <v>250</v>
      </c>
      <c r="C267" s="16">
        <f t="shared" si="21"/>
        <v>-26287426.685008921</v>
      </c>
      <c r="D267" s="16">
        <f>IF(A267&lt;=$B$3,PMT(利回り!$F$5/12,利回り!$F$4*12,利回り!$F$2,0),0)</f>
        <v>0</v>
      </c>
      <c r="E267" s="16">
        <f t="shared" si="22"/>
        <v>0</v>
      </c>
      <c r="F267" s="16">
        <f t="shared" si="23"/>
        <v>0</v>
      </c>
      <c r="G267" s="13">
        <f t="shared" si="24"/>
        <v>183.77426509631914</v>
      </c>
    </row>
    <row r="268" spans="1:7" x14ac:dyDescent="0.45">
      <c r="A268">
        <f t="shared" si="20"/>
        <v>21</v>
      </c>
      <c r="B268">
        <v>251</v>
      </c>
      <c r="C268" s="16">
        <f t="shared" si="21"/>
        <v>-26287426.685008921</v>
      </c>
      <c r="D268" s="16">
        <f>IF(A268&lt;=$B$3,PMT(利回り!$F$5/12,利回り!$F$4*12,利回り!$F$2,0),0)</f>
        <v>0</v>
      </c>
      <c r="E268" s="16">
        <f t="shared" si="22"/>
        <v>0</v>
      </c>
      <c r="F268" s="16">
        <f t="shared" si="23"/>
        <v>0</v>
      </c>
      <c r="G268" s="13">
        <f t="shared" si="24"/>
        <v>183.77426509631914</v>
      </c>
    </row>
    <row r="269" spans="1:7" x14ac:dyDescent="0.45">
      <c r="A269">
        <f t="shared" si="20"/>
        <v>21</v>
      </c>
      <c r="B269">
        <v>252</v>
      </c>
      <c r="C269" s="16">
        <f t="shared" si="21"/>
        <v>-26287426.685008921</v>
      </c>
      <c r="D269" s="16">
        <f>IF(A269&lt;=$B$3,PMT(利回り!$F$5/12,利回り!$F$4*12,利回り!$F$2,0),0)</f>
        <v>0</v>
      </c>
      <c r="E269" s="16">
        <f t="shared" si="22"/>
        <v>0</v>
      </c>
      <c r="F269" s="16">
        <f t="shared" si="23"/>
        <v>0</v>
      </c>
      <c r="G269" s="13">
        <f t="shared" si="24"/>
        <v>183.77426509631914</v>
      </c>
    </row>
    <row r="270" spans="1:7" x14ac:dyDescent="0.45">
      <c r="A270">
        <f t="shared" si="20"/>
        <v>22</v>
      </c>
      <c r="B270">
        <v>253</v>
      </c>
      <c r="C270" s="16">
        <f t="shared" si="21"/>
        <v>-26287426.685008921</v>
      </c>
      <c r="D270" s="16">
        <f>IF(A270&lt;=$B$3,PMT(利回り!$F$5/12,利回り!$F$4*12,利回り!$F$2,0),0)</f>
        <v>0</v>
      </c>
      <c r="E270" s="16">
        <f t="shared" si="22"/>
        <v>0</v>
      </c>
      <c r="F270" s="16">
        <f t="shared" si="23"/>
        <v>0</v>
      </c>
      <c r="G270" s="13">
        <f t="shared" si="24"/>
        <v>183.77426509631914</v>
      </c>
    </row>
    <row r="271" spans="1:7" x14ac:dyDescent="0.45">
      <c r="A271">
        <f t="shared" si="20"/>
        <v>22</v>
      </c>
      <c r="B271">
        <v>254</v>
      </c>
      <c r="C271" s="16">
        <f t="shared" si="21"/>
        <v>-26287426.685008921</v>
      </c>
      <c r="D271" s="16">
        <f>IF(A271&lt;=$B$3,PMT(利回り!$F$5/12,利回り!$F$4*12,利回り!$F$2,0),0)</f>
        <v>0</v>
      </c>
      <c r="E271" s="16">
        <f t="shared" si="22"/>
        <v>0</v>
      </c>
      <c r="F271" s="16">
        <f t="shared" si="23"/>
        <v>0</v>
      </c>
      <c r="G271" s="13">
        <f t="shared" si="24"/>
        <v>183.77426509631914</v>
      </c>
    </row>
    <row r="272" spans="1:7" x14ac:dyDescent="0.45">
      <c r="A272">
        <f t="shared" si="20"/>
        <v>22</v>
      </c>
      <c r="B272">
        <v>255</v>
      </c>
      <c r="C272" s="16">
        <f t="shared" si="21"/>
        <v>-26287426.685008921</v>
      </c>
      <c r="D272" s="16">
        <f>IF(A272&lt;=$B$3,PMT(利回り!$F$5/12,利回り!$F$4*12,利回り!$F$2,0),0)</f>
        <v>0</v>
      </c>
      <c r="E272" s="16">
        <f t="shared" si="22"/>
        <v>0</v>
      </c>
      <c r="F272" s="16">
        <f t="shared" si="23"/>
        <v>0</v>
      </c>
      <c r="G272" s="13">
        <f t="shared" si="24"/>
        <v>183.77426509631914</v>
      </c>
    </row>
    <row r="273" spans="1:7" x14ac:dyDescent="0.45">
      <c r="A273">
        <f t="shared" si="20"/>
        <v>22</v>
      </c>
      <c r="B273">
        <v>256</v>
      </c>
      <c r="C273" s="16">
        <f t="shared" si="21"/>
        <v>-26287426.685008921</v>
      </c>
      <c r="D273" s="16">
        <f>IF(A273&lt;=$B$3,PMT(利回り!$F$5/12,利回り!$F$4*12,利回り!$F$2,0),0)</f>
        <v>0</v>
      </c>
      <c r="E273" s="16">
        <f t="shared" si="22"/>
        <v>0</v>
      </c>
      <c r="F273" s="16">
        <f t="shared" si="23"/>
        <v>0</v>
      </c>
      <c r="G273" s="13">
        <f t="shared" si="24"/>
        <v>183.77426509631914</v>
      </c>
    </row>
    <row r="274" spans="1:7" x14ac:dyDescent="0.45">
      <c r="A274">
        <f t="shared" si="20"/>
        <v>22</v>
      </c>
      <c r="B274">
        <v>257</v>
      </c>
      <c r="C274" s="16">
        <f t="shared" si="21"/>
        <v>-26287426.685008921</v>
      </c>
      <c r="D274" s="16">
        <f>IF(A274&lt;=$B$3,PMT(利回り!$F$5/12,利回り!$F$4*12,利回り!$F$2,0),0)</f>
        <v>0</v>
      </c>
      <c r="E274" s="16">
        <f t="shared" si="22"/>
        <v>0</v>
      </c>
      <c r="F274" s="16">
        <f t="shared" si="23"/>
        <v>0</v>
      </c>
      <c r="G274" s="13">
        <f t="shared" si="24"/>
        <v>183.77426509631914</v>
      </c>
    </row>
    <row r="275" spans="1:7" x14ac:dyDescent="0.45">
      <c r="A275">
        <f t="shared" ref="A275:A338" si="25">INT((B275-1)/12)+1</f>
        <v>22</v>
      </c>
      <c r="B275">
        <v>258</v>
      </c>
      <c r="C275" s="16">
        <f t="shared" si="21"/>
        <v>-26287426.685008921</v>
      </c>
      <c r="D275" s="16">
        <f>IF(A275&lt;=$B$3,PMT(利回り!$F$5/12,利回り!$F$4*12,利回り!$F$2,0),0)</f>
        <v>0</v>
      </c>
      <c r="E275" s="16">
        <f t="shared" si="22"/>
        <v>0</v>
      </c>
      <c r="F275" s="16">
        <f t="shared" si="23"/>
        <v>0</v>
      </c>
      <c r="G275" s="13">
        <f t="shared" si="24"/>
        <v>183.77426509631914</v>
      </c>
    </row>
    <row r="276" spans="1:7" x14ac:dyDescent="0.45">
      <c r="A276">
        <f t="shared" si="25"/>
        <v>22</v>
      </c>
      <c r="B276">
        <v>259</v>
      </c>
      <c r="C276" s="16">
        <f t="shared" si="21"/>
        <v>-26287426.685008921</v>
      </c>
      <c r="D276" s="16">
        <f>IF(A276&lt;=$B$3,PMT(利回り!$F$5/12,利回り!$F$4*12,利回り!$F$2,0),0)</f>
        <v>0</v>
      </c>
      <c r="E276" s="16">
        <f t="shared" si="22"/>
        <v>0</v>
      </c>
      <c r="F276" s="16">
        <f t="shared" si="23"/>
        <v>0</v>
      </c>
      <c r="G276" s="13">
        <f t="shared" si="24"/>
        <v>183.77426509631914</v>
      </c>
    </row>
    <row r="277" spans="1:7" x14ac:dyDescent="0.45">
      <c r="A277">
        <f t="shared" si="25"/>
        <v>22</v>
      </c>
      <c r="B277">
        <v>260</v>
      </c>
      <c r="C277" s="16">
        <f t="shared" ref="C277:C340" si="26">C276+D276</f>
        <v>-26287426.685008921</v>
      </c>
      <c r="D277" s="16">
        <f>IF(A277&lt;=$B$3,PMT(利回り!$F$5/12,利回り!$F$4*12,利回り!$F$2,0),0)</f>
        <v>0</v>
      </c>
      <c r="E277" s="16">
        <f t="shared" ref="E277:E340" si="27">D277-F277</f>
        <v>0</v>
      </c>
      <c r="F277" s="16">
        <f t="shared" ref="F277:F340" si="28">-ROUNDUP(IF(A277&lt;=$B$3,($B$4/12)*G276,0),0)</f>
        <v>0</v>
      </c>
      <c r="G277" s="13">
        <f t="shared" ref="G277:G340" si="29">IF(G276+E277&gt;0,G276+E277,0)</f>
        <v>183.77426509631914</v>
      </c>
    </row>
    <row r="278" spans="1:7" x14ac:dyDescent="0.45">
      <c r="A278">
        <f t="shared" si="25"/>
        <v>22</v>
      </c>
      <c r="B278">
        <v>261</v>
      </c>
      <c r="C278" s="16">
        <f t="shared" si="26"/>
        <v>-26287426.685008921</v>
      </c>
      <c r="D278" s="16">
        <f>IF(A278&lt;=$B$3,PMT(利回り!$F$5/12,利回り!$F$4*12,利回り!$F$2,0),0)</f>
        <v>0</v>
      </c>
      <c r="E278" s="16">
        <f t="shared" si="27"/>
        <v>0</v>
      </c>
      <c r="F278" s="16">
        <f t="shared" si="28"/>
        <v>0</v>
      </c>
      <c r="G278" s="13">
        <f t="shared" si="29"/>
        <v>183.77426509631914</v>
      </c>
    </row>
    <row r="279" spans="1:7" x14ac:dyDescent="0.45">
      <c r="A279">
        <f t="shared" si="25"/>
        <v>22</v>
      </c>
      <c r="B279">
        <v>262</v>
      </c>
      <c r="C279" s="16">
        <f t="shared" si="26"/>
        <v>-26287426.685008921</v>
      </c>
      <c r="D279" s="16">
        <f>IF(A279&lt;=$B$3,PMT(利回り!$F$5/12,利回り!$F$4*12,利回り!$F$2,0),0)</f>
        <v>0</v>
      </c>
      <c r="E279" s="16">
        <f t="shared" si="27"/>
        <v>0</v>
      </c>
      <c r="F279" s="16">
        <f t="shared" si="28"/>
        <v>0</v>
      </c>
      <c r="G279" s="13">
        <f t="shared" si="29"/>
        <v>183.77426509631914</v>
      </c>
    </row>
    <row r="280" spans="1:7" x14ac:dyDescent="0.45">
      <c r="A280">
        <f t="shared" si="25"/>
        <v>22</v>
      </c>
      <c r="B280">
        <v>263</v>
      </c>
      <c r="C280" s="16">
        <f t="shared" si="26"/>
        <v>-26287426.685008921</v>
      </c>
      <c r="D280" s="16">
        <f>IF(A280&lt;=$B$3,PMT(利回り!$F$5/12,利回り!$F$4*12,利回り!$F$2,0),0)</f>
        <v>0</v>
      </c>
      <c r="E280" s="16">
        <f t="shared" si="27"/>
        <v>0</v>
      </c>
      <c r="F280" s="16">
        <f t="shared" si="28"/>
        <v>0</v>
      </c>
      <c r="G280" s="13">
        <f t="shared" si="29"/>
        <v>183.77426509631914</v>
      </c>
    </row>
    <row r="281" spans="1:7" x14ac:dyDescent="0.45">
      <c r="A281">
        <f t="shared" si="25"/>
        <v>22</v>
      </c>
      <c r="B281">
        <v>264</v>
      </c>
      <c r="C281" s="16">
        <f t="shared" si="26"/>
        <v>-26287426.685008921</v>
      </c>
      <c r="D281" s="16">
        <f>IF(A281&lt;=$B$3,PMT(利回り!$F$5/12,利回り!$F$4*12,利回り!$F$2,0),0)</f>
        <v>0</v>
      </c>
      <c r="E281" s="16">
        <f t="shared" si="27"/>
        <v>0</v>
      </c>
      <c r="F281" s="16">
        <f t="shared" si="28"/>
        <v>0</v>
      </c>
      <c r="G281" s="13">
        <f t="shared" si="29"/>
        <v>183.77426509631914</v>
      </c>
    </row>
    <row r="282" spans="1:7" x14ac:dyDescent="0.45">
      <c r="A282">
        <f t="shared" si="25"/>
        <v>23</v>
      </c>
      <c r="B282">
        <v>265</v>
      </c>
      <c r="C282" s="16">
        <f t="shared" si="26"/>
        <v>-26287426.685008921</v>
      </c>
      <c r="D282" s="16">
        <f>IF(A282&lt;=$B$3,PMT(利回り!$F$5/12,利回り!$F$4*12,利回り!$F$2,0),0)</f>
        <v>0</v>
      </c>
      <c r="E282" s="16">
        <f t="shared" si="27"/>
        <v>0</v>
      </c>
      <c r="F282" s="16">
        <f t="shared" si="28"/>
        <v>0</v>
      </c>
      <c r="G282" s="13">
        <f t="shared" si="29"/>
        <v>183.77426509631914</v>
      </c>
    </row>
    <row r="283" spans="1:7" x14ac:dyDescent="0.45">
      <c r="A283">
        <f t="shared" si="25"/>
        <v>23</v>
      </c>
      <c r="B283">
        <v>266</v>
      </c>
      <c r="C283" s="16">
        <f t="shared" si="26"/>
        <v>-26287426.685008921</v>
      </c>
      <c r="D283" s="16">
        <f>IF(A283&lt;=$B$3,PMT(利回り!$F$5/12,利回り!$F$4*12,利回り!$F$2,0),0)</f>
        <v>0</v>
      </c>
      <c r="E283" s="16">
        <f t="shared" si="27"/>
        <v>0</v>
      </c>
      <c r="F283" s="16">
        <f t="shared" si="28"/>
        <v>0</v>
      </c>
      <c r="G283" s="13">
        <f t="shared" si="29"/>
        <v>183.77426509631914</v>
      </c>
    </row>
    <row r="284" spans="1:7" x14ac:dyDescent="0.45">
      <c r="A284">
        <f t="shared" si="25"/>
        <v>23</v>
      </c>
      <c r="B284">
        <v>267</v>
      </c>
      <c r="C284" s="16">
        <f t="shared" si="26"/>
        <v>-26287426.685008921</v>
      </c>
      <c r="D284" s="16">
        <f>IF(A284&lt;=$B$3,PMT(利回り!$F$5/12,利回り!$F$4*12,利回り!$F$2,0),0)</f>
        <v>0</v>
      </c>
      <c r="E284" s="16">
        <f t="shared" si="27"/>
        <v>0</v>
      </c>
      <c r="F284" s="16">
        <f t="shared" si="28"/>
        <v>0</v>
      </c>
      <c r="G284" s="13">
        <f t="shared" si="29"/>
        <v>183.77426509631914</v>
      </c>
    </row>
    <row r="285" spans="1:7" x14ac:dyDescent="0.45">
      <c r="A285">
        <f t="shared" si="25"/>
        <v>23</v>
      </c>
      <c r="B285">
        <v>268</v>
      </c>
      <c r="C285" s="16">
        <f t="shared" si="26"/>
        <v>-26287426.685008921</v>
      </c>
      <c r="D285" s="16">
        <f>IF(A285&lt;=$B$3,PMT(利回り!$F$5/12,利回り!$F$4*12,利回り!$F$2,0),0)</f>
        <v>0</v>
      </c>
      <c r="E285" s="16">
        <f t="shared" si="27"/>
        <v>0</v>
      </c>
      <c r="F285" s="16">
        <f t="shared" si="28"/>
        <v>0</v>
      </c>
      <c r="G285" s="13">
        <f t="shared" si="29"/>
        <v>183.77426509631914</v>
      </c>
    </row>
    <row r="286" spans="1:7" x14ac:dyDescent="0.45">
      <c r="A286">
        <f t="shared" si="25"/>
        <v>23</v>
      </c>
      <c r="B286">
        <v>269</v>
      </c>
      <c r="C286" s="16">
        <f t="shared" si="26"/>
        <v>-26287426.685008921</v>
      </c>
      <c r="D286" s="16">
        <f>IF(A286&lt;=$B$3,PMT(利回り!$F$5/12,利回り!$F$4*12,利回り!$F$2,0),0)</f>
        <v>0</v>
      </c>
      <c r="E286" s="16">
        <f t="shared" si="27"/>
        <v>0</v>
      </c>
      <c r="F286" s="16">
        <f t="shared" si="28"/>
        <v>0</v>
      </c>
      <c r="G286" s="13">
        <f t="shared" si="29"/>
        <v>183.77426509631914</v>
      </c>
    </row>
    <row r="287" spans="1:7" x14ac:dyDescent="0.45">
      <c r="A287">
        <f t="shared" si="25"/>
        <v>23</v>
      </c>
      <c r="B287">
        <v>270</v>
      </c>
      <c r="C287" s="16">
        <f t="shared" si="26"/>
        <v>-26287426.685008921</v>
      </c>
      <c r="D287" s="16">
        <f>IF(A287&lt;=$B$3,PMT(利回り!$F$5/12,利回り!$F$4*12,利回り!$F$2,0),0)</f>
        <v>0</v>
      </c>
      <c r="E287" s="16">
        <f t="shared" si="27"/>
        <v>0</v>
      </c>
      <c r="F287" s="16">
        <f t="shared" si="28"/>
        <v>0</v>
      </c>
      <c r="G287" s="13">
        <f t="shared" si="29"/>
        <v>183.77426509631914</v>
      </c>
    </row>
    <row r="288" spans="1:7" x14ac:dyDescent="0.45">
      <c r="A288">
        <f t="shared" si="25"/>
        <v>23</v>
      </c>
      <c r="B288">
        <v>271</v>
      </c>
      <c r="C288" s="16">
        <f t="shared" si="26"/>
        <v>-26287426.685008921</v>
      </c>
      <c r="D288" s="16">
        <f>IF(A288&lt;=$B$3,PMT(利回り!$F$5/12,利回り!$F$4*12,利回り!$F$2,0),0)</f>
        <v>0</v>
      </c>
      <c r="E288" s="16">
        <f t="shared" si="27"/>
        <v>0</v>
      </c>
      <c r="F288" s="16">
        <f t="shared" si="28"/>
        <v>0</v>
      </c>
      <c r="G288" s="13">
        <f t="shared" si="29"/>
        <v>183.77426509631914</v>
      </c>
    </row>
    <row r="289" spans="1:7" x14ac:dyDescent="0.45">
      <c r="A289">
        <f t="shared" si="25"/>
        <v>23</v>
      </c>
      <c r="B289">
        <v>272</v>
      </c>
      <c r="C289" s="16">
        <f t="shared" si="26"/>
        <v>-26287426.685008921</v>
      </c>
      <c r="D289" s="16">
        <f>IF(A289&lt;=$B$3,PMT(利回り!$F$5/12,利回り!$F$4*12,利回り!$F$2,0),0)</f>
        <v>0</v>
      </c>
      <c r="E289" s="16">
        <f t="shared" si="27"/>
        <v>0</v>
      </c>
      <c r="F289" s="16">
        <f t="shared" si="28"/>
        <v>0</v>
      </c>
      <c r="G289" s="13">
        <f t="shared" si="29"/>
        <v>183.77426509631914</v>
      </c>
    </row>
    <row r="290" spans="1:7" x14ac:dyDescent="0.45">
      <c r="A290">
        <f t="shared" si="25"/>
        <v>23</v>
      </c>
      <c r="B290">
        <v>273</v>
      </c>
      <c r="C290" s="16">
        <f t="shared" si="26"/>
        <v>-26287426.685008921</v>
      </c>
      <c r="D290" s="16">
        <f>IF(A290&lt;=$B$3,PMT(利回り!$F$5/12,利回り!$F$4*12,利回り!$F$2,0),0)</f>
        <v>0</v>
      </c>
      <c r="E290" s="16">
        <f t="shared" si="27"/>
        <v>0</v>
      </c>
      <c r="F290" s="16">
        <f t="shared" si="28"/>
        <v>0</v>
      </c>
      <c r="G290" s="13">
        <f t="shared" si="29"/>
        <v>183.77426509631914</v>
      </c>
    </row>
    <row r="291" spans="1:7" x14ac:dyDescent="0.45">
      <c r="A291">
        <f t="shared" si="25"/>
        <v>23</v>
      </c>
      <c r="B291">
        <v>274</v>
      </c>
      <c r="C291" s="16">
        <f t="shared" si="26"/>
        <v>-26287426.685008921</v>
      </c>
      <c r="D291" s="16">
        <f>IF(A291&lt;=$B$3,PMT(利回り!$F$5/12,利回り!$F$4*12,利回り!$F$2,0),0)</f>
        <v>0</v>
      </c>
      <c r="E291" s="16">
        <f t="shared" si="27"/>
        <v>0</v>
      </c>
      <c r="F291" s="16">
        <f t="shared" si="28"/>
        <v>0</v>
      </c>
      <c r="G291" s="13">
        <f t="shared" si="29"/>
        <v>183.77426509631914</v>
      </c>
    </row>
    <row r="292" spans="1:7" x14ac:dyDescent="0.45">
      <c r="A292">
        <f t="shared" si="25"/>
        <v>23</v>
      </c>
      <c r="B292">
        <v>275</v>
      </c>
      <c r="C292" s="16">
        <f t="shared" si="26"/>
        <v>-26287426.685008921</v>
      </c>
      <c r="D292" s="16">
        <f>IF(A292&lt;=$B$3,PMT(利回り!$F$5/12,利回り!$F$4*12,利回り!$F$2,0),0)</f>
        <v>0</v>
      </c>
      <c r="E292" s="16">
        <f t="shared" si="27"/>
        <v>0</v>
      </c>
      <c r="F292" s="16">
        <f t="shared" si="28"/>
        <v>0</v>
      </c>
      <c r="G292" s="13">
        <f t="shared" si="29"/>
        <v>183.77426509631914</v>
      </c>
    </row>
    <row r="293" spans="1:7" x14ac:dyDescent="0.45">
      <c r="A293">
        <f t="shared" si="25"/>
        <v>23</v>
      </c>
      <c r="B293">
        <v>276</v>
      </c>
      <c r="C293" s="16">
        <f t="shared" si="26"/>
        <v>-26287426.685008921</v>
      </c>
      <c r="D293" s="16">
        <f>IF(A293&lt;=$B$3,PMT(利回り!$F$5/12,利回り!$F$4*12,利回り!$F$2,0),0)</f>
        <v>0</v>
      </c>
      <c r="E293" s="16">
        <f t="shared" si="27"/>
        <v>0</v>
      </c>
      <c r="F293" s="16">
        <f t="shared" si="28"/>
        <v>0</v>
      </c>
      <c r="G293" s="13">
        <f t="shared" si="29"/>
        <v>183.77426509631914</v>
      </c>
    </row>
    <row r="294" spans="1:7" x14ac:dyDescent="0.45">
      <c r="A294">
        <f t="shared" si="25"/>
        <v>24</v>
      </c>
      <c r="B294">
        <v>277</v>
      </c>
      <c r="C294" s="16">
        <f t="shared" si="26"/>
        <v>-26287426.685008921</v>
      </c>
      <c r="D294" s="16">
        <f>IF(A294&lt;=$B$3,PMT(利回り!$F$5/12,利回り!$F$4*12,利回り!$F$2,0),0)</f>
        <v>0</v>
      </c>
      <c r="E294" s="16">
        <f t="shared" si="27"/>
        <v>0</v>
      </c>
      <c r="F294" s="16">
        <f t="shared" si="28"/>
        <v>0</v>
      </c>
      <c r="G294" s="13">
        <f t="shared" si="29"/>
        <v>183.77426509631914</v>
      </c>
    </row>
    <row r="295" spans="1:7" x14ac:dyDescent="0.45">
      <c r="A295">
        <f t="shared" si="25"/>
        <v>24</v>
      </c>
      <c r="B295">
        <v>278</v>
      </c>
      <c r="C295" s="16">
        <f t="shared" si="26"/>
        <v>-26287426.685008921</v>
      </c>
      <c r="D295" s="16">
        <f>IF(A295&lt;=$B$3,PMT(利回り!$F$5/12,利回り!$F$4*12,利回り!$F$2,0),0)</f>
        <v>0</v>
      </c>
      <c r="E295" s="16">
        <f t="shared" si="27"/>
        <v>0</v>
      </c>
      <c r="F295" s="16">
        <f t="shared" si="28"/>
        <v>0</v>
      </c>
      <c r="G295" s="13">
        <f t="shared" si="29"/>
        <v>183.77426509631914</v>
      </c>
    </row>
    <row r="296" spans="1:7" x14ac:dyDescent="0.45">
      <c r="A296">
        <f t="shared" si="25"/>
        <v>24</v>
      </c>
      <c r="B296">
        <v>279</v>
      </c>
      <c r="C296" s="16">
        <f t="shared" si="26"/>
        <v>-26287426.685008921</v>
      </c>
      <c r="D296" s="16">
        <f>IF(A296&lt;=$B$3,PMT(利回り!$F$5/12,利回り!$F$4*12,利回り!$F$2,0),0)</f>
        <v>0</v>
      </c>
      <c r="E296" s="16">
        <f t="shared" si="27"/>
        <v>0</v>
      </c>
      <c r="F296" s="16">
        <f t="shared" si="28"/>
        <v>0</v>
      </c>
      <c r="G296" s="13">
        <f t="shared" si="29"/>
        <v>183.77426509631914</v>
      </c>
    </row>
    <row r="297" spans="1:7" x14ac:dyDescent="0.45">
      <c r="A297">
        <f t="shared" si="25"/>
        <v>24</v>
      </c>
      <c r="B297">
        <v>280</v>
      </c>
      <c r="C297" s="16">
        <f t="shared" si="26"/>
        <v>-26287426.685008921</v>
      </c>
      <c r="D297" s="16">
        <f>IF(A297&lt;=$B$3,PMT(利回り!$F$5/12,利回り!$F$4*12,利回り!$F$2,0),0)</f>
        <v>0</v>
      </c>
      <c r="E297" s="16">
        <f t="shared" si="27"/>
        <v>0</v>
      </c>
      <c r="F297" s="16">
        <f t="shared" si="28"/>
        <v>0</v>
      </c>
      <c r="G297" s="13">
        <f t="shared" si="29"/>
        <v>183.77426509631914</v>
      </c>
    </row>
    <row r="298" spans="1:7" x14ac:dyDescent="0.45">
      <c r="A298">
        <f t="shared" si="25"/>
        <v>24</v>
      </c>
      <c r="B298">
        <v>281</v>
      </c>
      <c r="C298" s="16">
        <f t="shared" si="26"/>
        <v>-26287426.685008921</v>
      </c>
      <c r="D298" s="16">
        <f>IF(A298&lt;=$B$3,PMT(利回り!$F$5/12,利回り!$F$4*12,利回り!$F$2,0),0)</f>
        <v>0</v>
      </c>
      <c r="E298" s="16">
        <f t="shared" si="27"/>
        <v>0</v>
      </c>
      <c r="F298" s="16">
        <f t="shared" si="28"/>
        <v>0</v>
      </c>
      <c r="G298" s="13">
        <f t="shared" si="29"/>
        <v>183.77426509631914</v>
      </c>
    </row>
    <row r="299" spans="1:7" x14ac:dyDescent="0.45">
      <c r="A299">
        <f t="shared" si="25"/>
        <v>24</v>
      </c>
      <c r="B299">
        <v>282</v>
      </c>
      <c r="C299" s="16">
        <f t="shared" si="26"/>
        <v>-26287426.685008921</v>
      </c>
      <c r="D299" s="16">
        <f>IF(A299&lt;=$B$3,PMT(利回り!$F$5/12,利回り!$F$4*12,利回り!$F$2,0),0)</f>
        <v>0</v>
      </c>
      <c r="E299" s="16">
        <f t="shared" si="27"/>
        <v>0</v>
      </c>
      <c r="F299" s="16">
        <f t="shared" si="28"/>
        <v>0</v>
      </c>
      <c r="G299" s="13">
        <f t="shared" si="29"/>
        <v>183.77426509631914</v>
      </c>
    </row>
    <row r="300" spans="1:7" x14ac:dyDescent="0.45">
      <c r="A300">
        <f t="shared" si="25"/>
        <v>24</v>
      </c>
      <c r="B300">
        <v>283</v>
      </c>
      <c r="C300" s="16">
        <f t="shared" si="26"/>
        <v>-26287426.685008921</v>
      </c>
      <c r="D300" s="16">
        <f>IF(A300&lt;=$B$3,PMT(利回り!$F$5/12,利回り!$F$4*12,利回り!$F$2,0),0)</f>
        <v>0</v>
      </c>
      <c r="E300" s="16">
        <f t="shared" si="27"/>
        <v>0</v>
      </c>
      <c r="F300" s="16">
        <f t="shared" si="28"/>
        <v>0</v>
      </c>
      <c r="G300" s="13">
        <f t="shared" si="29"/>
        <v>183.77426509631914</v>
      </c>
    </row>
    <row r="301" spans="1:7" x14ac:dyDescent="0.45">
      <c r="A301">
        <f t="shared" si="25"/>
        <v>24</v>
      </c>
      <c r="B301">
        <v>284</v>
      </c>
      <c r="C301" s="16">
        <f t="shared" si="26"/>
        <v>-26287426.685008921</v>
      </c>
      <c r="D301" s="16">
        <f>IF(A301&lt;=$B$3,PMT(利回り!$F$5/12,利回り!$F$4*12,利回り!$F$2,0),0)</f>
        <v>0</v>
      </c>
      <c r="E301" s="16">
        <f t="shared" si="27"/>
        <v>0</v>
      </c>
      <c r="F301" s="16">
        <f t="shared" si="28"/>
        <v>0</v>
      </c>
      <c r="G301" s="13">
        <f t="shared" si="29"/>
        <v>183.77426509631914</v>
      </c>
    </row>
    <row r="302" spans="1:7" x14ac:dyDescent="0.45">
      <c r="A302">
        <f t="shared" si="25"/>
        <v>24</v>
      </c>
      <c r="B302">
        <v>285</v>
      </c>
      <c r="C302" s="16">
        <f t="shared" si="26"/>
        <v>-26287426.685008921</v>
      </c>
      <c r="D302" s="16">
        <f>IF(A302&lt;=$B$3,PMT(利回り!$F$5/12,利回り!$F$4*12,利回り!$F$2,0),0)</f>
        <v>0</v>
      </c>
      <c r="E302" s="16">
        <f t="shared" si="27"/>
        <v>0</v>
      </c>
      <c r="F302" s="16">
        <f t="shared" si="28"/>
        <v>0</v>
      </c>
      <c r="G302" s="13">
        <f t="shared" si="29"/>
        <v>183.77426509631914</v>
      </c>
    </row>
    <row r="303" spans="1:7" x14ac:dyDescent="0.45">
      <c r="A303">
        <f t="shared" si="25"/>
        <v>24</v>
      </c>
      <c r="B303">
        <v>286</v>
      </c>
      <c r="C303" s="16">
        <f t="shared" si="26"/>
        <v>-26287426.685008921</v>
      </c>
      <c r="D303" s="16">
        <f>IF(A303&lt;=$B$3,PMT(利回り!$F$5/12,利回り!$F$4*12,利回り!$F$2,0),0)</f>
        <v>0</v>
      </c>
      <c r="E303" s="16">
        <f t="shared" si="27"/>
        <v>0</v>
      </c>
      <c r="F303" s="16">
        <f t="shared" si="28"/>
        <v>0</v>
      </c>
      <c r="G303" s="13">
        <f t="shared" si="29"/>
        <v>183.77426509631914</v>
      </c>
    </row>
    <row r="304" spans="1:7" x14ac:dyDescent="0.45">
      <c r="A304">
        <f t="shared" si="25"/>
        <v>24</v>
      </c>
      <c r="B304">
        <v>287</v>
      </c>
      <c r="C304" s="16">
        <f t="shared" si="26"/>
        <v>-26287426.685008921</v>
      </c>
      <c r="D304" s="16">
        <f>IF(A304&lt;=$B$3,PMT(利回り!$F$5/12,利回り!$F$4*12,利回り!$F$2,0),0)</f>
        <v>0</v>
      </c>
      <c r="E304" s="16">
        <f t="shared" si="27"/>
        <v>0</v>
      </c>
      <c r="F304" s="16">
        <f t="shared" si="28"/>
        <v>0</v>
      </c>
      <c r="G304" s="13">
        <f t="shared" si="29"/>
        <v>183.77426509631914</v>
      </c>
    </row>
    <row r="305" spans="1:7" x14ac:dyDescent="0.45">
      <c r="A305">
        <f t="shared" si="25"/>
        <v>24</v>
      </c>
      <c r="B305">
        <v>288</v>
      </c>
      <c r="C305" s="16">
        <f t="shared" si="26"/>
        <v>-26287426.685008921</v>
      </c>
      <c r="D305" s="16">
        <f>IF(A305&lt;=$B$3,PMT(利回り!$F$5/12,利回り!$F$4*12,利回り!$F$2,0),0)</f>
        <v>0</v>
      </c>
      <c r="E305" s="16">
        <f t="shared" si="27"/>
        <v>0</v>
      </c>
      <c r="F305" s="16">
        <f t="shared" si="28"/>
        <v>0</v>
      </c>
      <c r="G305" s="13">
        <f t="shared" si="29"/>
        <v>183.77426509631914</v>
      </c>
    </row>
    <row r="306" spans="1:7" x14ac:dyDescent="0.45">
      <c r="A306">
        <f t="shared" si="25"/>
        <v>25</v>
      </c>
      <c r="B306">
        <v>289</v>
      </c>
      <c r="C306" s="16">
        <f t="shared" si="26"/>
        <v>-26287426.685008921</v>
      </c>
      <c r="D306" s="16">
        <f>IF(A306&lt;=$B$3,PMT(利回り!$F$5/12,利回り!$F$4*12,利回り!$F$2,0),0)</f>
        <v>0</v>
      </c>
      <c r="E306" s="16">
        <f t="shared" si="27"/>
        <v>0</v>
      </c>
      <c r="F306" s="16">
        <f t="shared" si="28"/>
        <v>0</v>
      </c>
      <c r="G306" s="13">
        <f t="shared" si="29"/>
        <v>183.77426509631914</v>
      </c>
    </row>
    <row r="307" spans="1:7" x14ac:dyDescent="0.45">
      <c r="A307">
        <f t="shared" si="25"/>
        <v>25</v>
      </c>
      <c r="B307">
        <v>290</v>
      </c>
      <c r="C307" s="16">
        <f t="shared" si="26"/>
        <v>-26287426.685008921</v>
      </c>
      <c r="D307" s="16">
        <f>IF(A307&lt;=$B$3,PMT(利回り!$F$5/12,利回り!$F$4*12,利回り!$F$2,0),0)</f>
        <v>0</v>
      </c>
      <c r="E307" s="16">
        <f t="shared" si="27"/>
        <v>0</v>
      </c>
      <c r="F307" s="16">
        <f t="shared" si="28"/>
        <v>0</v>
      </c>
      <c r="G307" s="13">
        <f t="shared" si="29"/>
        <v>183.77426509631914</v>
      </c>
    </row>
    <row r="308" spans="1:7" x14ac:dyDescent="0.45">
      <c r="A308">
        <f t="shared" si="25"/>
        <v>25</v>
      </c>
      <c r="B308">
        <v>291</v>
      </c>
      <c r="C308" s="16">
        <f t="shared" si="26"/>
        <v>-26287426.685008921</v>
      </c>
      <c r="D308" s="16">
        <f>IF(A308&lt;=$B$3,PMT(利回り!$F$5/12,利回り!$F$4*12,利回り!$F$2,0),0)</f>
        <v>0</v>
      </c>
      <c r="E308" s="16">
        <f t="shared" si="27"/>
        <v>0</v>
      </c>
      <c r="F308" s="16">
        <f t="shared" si="28"/>
        <v>0</v>
      </c>
      <c r="G308" s="13">
        <f t="shared" si="29"/>
        <v>183.77426509631914</v>
      </c>
    </row>
    <row r="309" spans="1:7" x14ac:dyDescent="0.45">
      <c r="A309">
        <f t="shared" si="25"/>
        <v>25</v>
      </c>
      <c r="B309">
        <v>292</v>
      </c>
      <c r="C309" s="16">
        <f t="shared" si="26"/>
        <v>-26287426.685008921</v>
      </c>
      <c r="D309" s="16">
        <f>IF(A309&lt;=$B$3,PMT(利回り!$F$5/12,利回り!$F$4*12,利回り!$F$2,0),0)</f>
        <v>0</v>
      </c>
      <c r="E309" s="16">
        <f t="shared" si="27"/>
        <v>0</v>
      </c>
      <c r="F309" s="16">
        <f t="shared" si="28"/>
        <v>0</v>
      </c>
      <c r="G309" s="13">
        <f t="shared" si="29"/>
        <v>183.77426509631914</v>
      </c>
    </row>
    <row r="310" spans="1:7" x14ac:dyDescent="0.45">
      <c r="A310">
        <f t="shared" si="25"/>
        <v>25</v>
      </c>
      <c r="B310">
        <v>293</v>
      </c>
      <c r="C310" s="16">
        <f t="shared" si="26"/>
        <v>-26287426.685008921</v>
      </c>
      <c r="D310" s="16">
        <f>IF(A310&lt;=$B$3,PMT(利回り!$F$5/12,利回り!$F$4*12,利回り!$F$2,0),0)</f>
        <v>0</v>
      </c>
      <c r="E310" s="16">
        <f t="shared" si="27"/>
        <v>0</v>
      </c>
      <c r="F310" s="16">
        <f t="shared" si="28"/>
        <v>0</v>
      </c>
      <c r="G310" s="13">
        <f t="shared" si="29"/>
        <v>183.77426509631914</v>
      </c>
    </row>
    <row r="311" spans="1:7" x14ac:dyDescent="0.45">
      <c r="A311">
        <f t="shared" si="25"/>
        <v>25</v>
      </c>
      <c r="B311">
        <v>294</v>
      </c>
      <c r="C311" s="16">
        <f t="shared" si="26"/>
        <v>-26287426.685008921</v>
      </c>
      <c r="D311" s="16">
        <f>IF(A311&lt;=$B$3,PMT(利回り!$F$5/12,利回り!$F$4*12,利回り!$F$2,0),0)</f>
        <v>0</v>
      </c>
      <c r="E311" s="16">
        <f t="shared" si="27"/>
        <v>0</v>
      </c>
      <c r="F311" s="16">
        <f t="shared" si="28"/>
        <v>0</v>
      </c>
      <c r="G311" s="13">
        <f t="shared" si="29"/>
        <v>183.77426509631914</v>
      </c>
    </row>
    <row r="312" spans="1:7" x14ac:dyDescent="0.45">
      <c r="A312">
        <f t="shared" si="25"/>
        <v>25</v>
      </c>
      <c r="B312">
        <v>295</v>
      </c>
      <c r="C312" s="16">
        <f t="shared" si="26"/>
        <v>-26287426.685008921</v>
      </c>
      <c r="D312" s="16">
        <f>IF(A312&lt;=$B$3,PMT(利回り!$F$5/12,利回り!$F$4*12,利回り!$F$2,0),0)</f>
        <v>0</v>
      </c>
      <c r="E312" s="16">
        <f t="shared" si="27"/>
        <v>0</v>
      </c>
      <c r="F312" s="16">
        <f t="shared" si="28"/>
        <v>0</v>
      </c>
      <c r="G312" s="13">
        <f t="shared" si="29"/>
        <v>183.77426509631914</v>
      </c>
    </row>
    <row r="313" spans="1:7" x14ac:dyDescent="0.45">
      <c r="A313">
        <f t="shared" si="25"/>
        <v>25</v>
      </c>
      <c r="B313">
        <v>296</v>
      </c>
      <c r="C313" s="16">
        <f t="shared" si="26"/>
        <v>-26287426.685008921</v>
      </c>
      <c r="D313" s="16">
        <f>IF(A313&lt;=$B$3,PMT(利回り!$F$5/12,利回り!$F$4*12,利回り!$F$2,0),0)</f>
        <v>0</v>
      </c>
      <c r="E313" s="16">
        <f t="shared" si="27"/>
        <v>0</v>
      </c>
      <c r="F313" s="16">
        <f t="shared" si="28"/>
        <v>0</v>
      </c>
      <c r="G313" s="13">
        <f t="shared" si="29"/>
        <v>183.77426509631914</v>
      </c>
    </row>
    <row r="314" spans="1:7" x14ac:dyDescent="0.45">
      <c r="A314">
        <f t="shared" si="25"/>
        <v>25</v>
      </c>
      <c r="B314">
        <v>297</v>
      </c>
      <c r="C314" s="16">
        <f t="shared" si="26"/>
        <v>-26287426.685008921</v>
      </c>
      <c r="D314" s="16">
        <f>IF(A314&lt;=$B$3,PMT(利回り!$F$5/12,利回り!$F$4*12,利回り!$F$2,0),0)</f>
        <v>0</v>
      </c>
      <c r="E314" s="16">
        <f t="shared" si="27"/>
        <v>0</v>
      </c>
      <c r="F314" s="16">
        <f t="shared" si="28"/>
        <v>0</v>
      </c>
      <c r="G314" s="13">
        <f t="shared" si="29"/>
        <v>183.77426509631914</v>
      </c>
    </row>
    <row r="315" spans="1:7" x14ac:dyDescent="0.45">
      <c r="A315">
        <f t="shared" si="25"/>
        <v>25</v>
      </c>
      <c r="B315">
        <v>298</v>
      </c>
      <c r="C315" s="16">
        <f t="shared" si="26"/>
        <v>-26287426.685008921</v>
      </c>
      <c r="D315" s="16">
        <f>IF(A315&lt;=$B$3,PMT(利回り!$F$5/12,利回り!$F$4*12,利回り!$F$2,0),0)</f>
        <v>0</v>
      </c>
      <c r="E315" s="16">
        <f t="shared" si="27"/>
        <v>0</v>
      </c>
      <c r="F315" s="16">
        <f t="shared" si="28"/>
        <v>0</v>
      </c>
      <c r="G315" s="13">
        <f t="shared" si="29"/>
        <v>183.77426509631914</v>
      </c>
    </row>
    <row r="316" spans="1:7" x14ac:dyDescent="0.45">
      <c r="A316">
        <f t="shared" si="25"/>
        <v>25</v>
      </c>
      <c r="B316">
        <v>299</v>
      </c>
      <c r="C316" s="16">
        <f t="shared" si="26"/>
        <v>-26287426.685008921</v>
      </c>
      <c r="D316" s="16">
        <f>IF(A316&lt;=$B$3,PMT(利回り!$F$5/12,利回り!$F$4*12,利回り!$F$2,0),0)</f>
        <v>0</v>
      </c>
      <c r="E316" s="16">
        <f t="shared" si="27"/>
        <v>0</v>
      </c>
      <c r="F316" s="16">
        <f t="shared" si="28"/>
        <v>0</v>
      </c>
      <c r="G316" s="13">
        <f t="shared" si="29"/>
        <v>183.77426509631914</v>
      </c>
    </row>
    <row r="317" spans="1:7" x14ac:dyDescent="0.45">
      <c r="A317">
        <f t="shared" si="25"/>
        <v>25</v>
      </c>
      <c r="B317">
        <v>300</v>
      </c>
      <c r="C317" s="16">
        <f t="shared" si="26"/>
        <v>-26287426.685008921</v>
      </c>
      <c r="D317" s="16">
        <f>IF(A317&lt;=$B$3,PMT(利回り!$F$5/12,利回り!$F$4*12,利回り!$F$2,0),0)</f>
        <v>0</v>
      </c>
      <c r="E317" s="16">
        <f t="shared" si="27"/>
        <v>0</v>
      </c>
      <c r="F317" s="16">
        <f t="shared" si="28"/>
        <v>0</v>
      </c>
      <c r="G317" s="13">
        <f t="shared" si="29"/>
        <v>183.77426509631914</v>
      </c>
    </row>
    <row r="318" spans="1:7" x14ac:dyDescent="0.45">
      <c r="A318">
        <f t="shared" si="25"/>
        <v>26</v>
      </c>
      <c r="B318">
        <v>301</v>
      </c>
      <c r="C318" s="16">
        <f t="shared" si="26"/>
        <v>-26287426.685008921</v>
      </c>
      <c r="D318" s="16">
        <f>IF(A318&lt;=$B$3,PMT(利回り!$F$5/12,利回り!$F$4*12,利回り!$F$2,0),0)</f>
        <v>0</v>
      </c>
      <c r="E318" s="16">
        <f t="shared" si="27"/>
        <v>0</v>
      </c>
      <c r="F318" s="16">
        <f t="shared" si="28"/>
        <v>0</v>
      </c>
      <c r="G318" s="13">
        <f t="shared" si="29"/>
        <v>183.77426509631914</v>
      </c>
    </row>
    <row r="319" spans="1:7" x14ac:dyDescent="0.45">
      <c r="A319">
        <f t="shared" si="25"/>
        <v>26</v>
      </c>
      <c r="B319">
        <v>302</v>
      </c>
      <c r="C319" s="16">
        <f t="shared" si="26"/>
        <v>-26287426.685008921</v>
      </c>
      <c r="D319" s="16">
        <f>IF(A319&lt;=$B$3,PMT(利回り!$F$5/12,利回り!$F$4*12,利回り!$F$2,0),0)</f>
        <v>0</v>
      </c>
      <c r="E319" s="16">
        <f t="shared" si="27"/>
        <v>0</v>
      </c>
      <c r="F319" s="16">
        <f t="shared" si="28"/>
        <v>0</v>
      </c>
      <c r="G319" s="13">
        <f t="shared" si="29"/>
        <v>183.77426509631914</v>
      </c>
    </row>
    <row r="320" spans="1:7" x14ac:dyDescent="0.45">
      <c r="A320">
        <f t="shared" si="25"/>
        <v>26</v>
      </c>
      <c r="B320">
        <v>303</v>
      </c>
      <c r="C320" s="16">
        <f t="shared" si="26"/>
        <v>-26287426.685008921</v>
      </c>
      <c r="D320" s="16">
        <f>IF(A320&lt;=$B$3,PMT(利回り!$F$5/12,利回り!$F$4*12,利回り!$F$2,0),0)</f>
        <v>0</v>
      </c>
      <c r="E320" s="16">
        <f t="shared" si="27"/>
        <v>0</v>
      </c>
      <c r="F320" s="16">
        <f t="shared" si="28"/>
        <v>0</v>
      </c>
      <c r="G320" s="13">
        <f t="shared" si="29"/>
        <v>183.77426509631914</v>
      </c>
    </row>
    <row r="321" spans="1:7" x14ac:dyDescent="0.45">
      <c r="A321">
        <f t="shared" si="25"/>
        <v>26</v>
      </c>
      <c r="B321">
        <v>304</v>
      </c>
      <c r="C321" s="16">
        <f t="shared" si="26"/>
        <v>-26287426.685008921</v>
      </c>
      <c r="D321" s="16">
        <f>IF(A321&lt;=$B$3,PMT(利回り!$F$5/12,利回り!$F$4*12,利回り!$F$2,0),0)</f>
        <v>0</v>
      </c>
      <c r="E321" s="16">
        <f t="shared" si="27"/>
        <v>0</v>
      </c>
      <c r="F321" s="16">
        <f t="shared" si="28"/>
        <v>0</v>
      </c>
      <c r="G321" s="13">
        <f t="shared" si="29"/>
        <v>183.77426509631914</v>
      </c>
    </row>
    <row r="322" spans="1:7" x14ac:dyDescent="0.45">
      <c r="A322">
        <f t="shared" si="25"/>
        <v>26</v>
      </c>
      <c r="B322">
        <v>305</v>
      </c>
      <c r="C322" s="16">
        <f t="shared" si="26"/>
        <v>-26287426.685008921</v>
      </c>
      <c r="D322" s="16">
        <f>IF(A322&lt;=$B$3,PMT(利回り!$F$5/12,利回り!$F$4*12,利回り!$F$2,0),0)</f>
        <v>0</v>
      </c>
      <c r="E322" s="16">
        <f t="shared" si="27"/>
        <v>0</v>
      </c>
      <c r="F322" s="16">
        <f t="shared" si="28"/>
        <v>0</v>
      </c>
      <c r="G322" s="13">
        <f t="shared" si="29"/>
        <v>183.77426509631914</v>
      </c>
    </row>
    <row r="323" spans="1:7" x14ac:dyDescent="0.45">
      <c r="A323">
        <f t="shared" si="25"/>
        <v>26</v>
      </c>
      <c r="B323">
        <v>306</v>
      </c>
      <c r="C323" s="16">
        <f t="shared" si="26"/>
        <v>-26287426.685008921</v>
      </c>
      <c r="D323" s="16">
        <f>IF(A323&lt;=$B$3,PMT(利回り!$F$5/12,利回り!$F$4*12,利回り!$F$2,0),0)</f>
        <v>0</v>
      </c>
      <c r="E323" s="16">
        <f t="shared" si="27"/>
        <v>0</v>
      </c>
      <c r="F323" s="16">
        <f t="shared" si="28"/>
        <v>0</v>
      </c>
      <c r="G323" s="13">
        <f t="shared" si="29"/>
        <v>183.77426509631914</v>
      </c>
    </row>
    <row r="324" spans="1:7" x14ac:dyDescent="0.45">
      <c r="A324">
        <f t="shared" si="25"/>
        <v>26</v>
      </c>
      <c r="B324">
        <v>307</v>
      </c>
      <c r="C324" s="16">
        <f t="shared" si="26"/>
        <v>-26287426.685008921</v>
      </c>
      <c r="D324" s="16">
        <f>IF(A324&lt;=$B$3,PMT(利回り!$F$5/12,利回り!$F$4*12,利回り!$F$2,0),0)</f>
        <v>0</v>
      </c>
      <c r="E324" s="16">
        <f t="shared" si="27"/>
        <v>0</v>
      </c>
      <c r="F324" s="16">
        <f t="shared" si="28"/>
        <v>0</v>
      </c>
      <c r="G324" s="13">
        <f t="shared" si="29"/>
        <v>183.77426509631914</v>
      </c>
    </row>
    <row r="325" spans="1:7" x14ac:dyDescent="0.45">
      <c r="A325">
        <f t="shared" si="25"/>
        <v>26</v>
      </c>
      <c r="B325">
        <v>308</v>
      </c>
      <c r="C325" s="16">
        <f t="shared" si="26"/>
        <v>-26287426.685008921</v>
      </c>
      <c r="D325" s="16">
        <f>IF(A325&lt;=$B$3,PMT(利回り!$F$5/12,利回り!$F$4*12,利回り!$F$2,0),0)</f>
        <v>0</v>
      </c>
      <c r="E325" s="16">
        <f t="shared" si="27"/>
        <v>0</v>
      </c>
      <c r="F325" s="16">
        <f t="shared" si="28"/>
        <v>0</v>
      </c>
      <c r="G325" s="13">
        <f t="shared" si="29"/>
        <v>183.77426509631914</v>
      </c>
    </row>
    <row r="326" spans="1:7" x14ac:dyDescent="0.45">
      <c r="A326">
        <f t="shared" si="25"/>
        <v>26</v>
      </c>
      <c r="B326">
        <v>309</v>
      </c>
      <c r="C326" s="16">
        <f t="shared" si="26"/>
        <v>-26287426.685008921</v>
      </c>
      <c r="D326" s="16">
        <f>IF(A326&lt;=$B$3,PMT(利回り!$F$5/12,利回り!$F$4*12,利回り!$F$2,0),0)</f>
        <v>0</v>
      </c>
      <c r="E326" s="16">
        <f t="shared" si="27"/>
        <v>0</v>
      </c>
      <c r="F326" s="16">
        <f t="shared" si="28"/>
        <v>0</v>
      </c>
      <c r="G326" s="13">
        <f t="shared" si="29"/>
        <v>183.77426509631914</v>
      </c>
    </row>
    <row r="327" spans="1:7" x14ac:dyDescent="0.45">
      <c r="A327">
        <f t="shared" si="25"/>
        <v>26</v>
      </c>
      <c r="B327">
        <v>310</v>
      </c>
      <c r="C327" s="16">
        <f t="shared" si="26"/>
        <v>-26287426.685008921</v>
      </c>
      <c r="D327" s="16">
        <f>IF(A327&lt;=$B$3,PMT(利回り!$F$5/12,利回り!$F$4*12,利回り!$F$2,0),0)</f>
        <v>0</v>
      </c>
      <c r="E327" s="16">
        <f t="shared" si="27"/>
        <v>0</v>
      </c>
      <c r="F327" s="16">
        <f t="shared" si="28"/>
        <v>0</v>
      </c>
      <c r="G327" s="13">
        <f t="shared" si="29"/>
        <v>183.77426509631914</v>
      </c>
    </row>
    <row r="328" spans="1:7" x14ac:dyDescent="0.45">
      <c r="A328">
        <f t="shared" si="25"/>
        <v>26</v>
      </c>
      <c r="B328">
        <v>311</v>
      </c>
      <c r="C328" s="16">
        <f t="shared" si="26"/>
        <v>-26287426.685008921</v>
      </c>
      <c r="D328" s="16">
        <f>IF(A328&lt;=$B$3,PMT(利回り!$F$5/12,利回り!$F$4*12,利回り!$F$2,0),0)</f>
        <v>0</v>
      </c>
      <c r="E328" s="16">
        <f t="shared" si="27"/>
        <v>0</v>
      </c>
      <c r="F328" s="16">
        <f t="shared" si="28"/>
        <v>0</v>
      </c>
      <c r="G328" s="13">
        <f t="shared" si="29"/>
        <v>183.77426509631914</v>
      </c>
    </row>
    <row r="329" spans="1:7" x14ac:dyDescent="0.45">
      <c r="A329">
        <f t="shared" si="25"/>
        <v>26</v>
      </c>
      <c r="B329">
        <v>312</v>
      </c>
      <c r="C329" s="16">
        <f t="shared" si="26"/>
        <v>-26287426.685008921</v>
      </c>
      <c r="D329" s="16">
        <f>IF(A329&lt;=$B$3,PMT(利回り!$F$5/12,利回り!$F$4*12,利回り!$F$2,0),0)</f>
        <v>0</v>
      </c>
      <c r="E329" s="16">
        <f t="shared" si="27"/>
        <v>0</v>
      </c>
      <c r="F329" s="16">
        <f t="shared" si="28"/>
        <v>0</v>
      </c>
      <c r="G329" s="13">
        <f t="shared" si="29"/>
        <v>183.77426509631914</v>
      </c>
    </row>
    <row r="330" spans="1:7" x14ac:dyDescent="0.45">
      <c r="A330">
        <f t="shared" si="25"/>
        <v>27</v>
      </c>
      <c r="B330">
        <v>313</v>
      </c>
      <c r="C330" s="16">
        <f t="shared" si="26"/>
        <v>-26287426.685008921</v>
      </c>
      <c r="D330" s="16">
        <f>IF(A330&lt;=$B$3,PMT(利回り!$F$5/12,利回り!$F$4*12,利回り!$F$2,0),0)</f>
        <v>0</v>
      </c>
      <c r="E330" s="16">
        <f t="shared" si="27"/>
        <v>0</v>
      </c>
      <c r="F330" s="16">
        <f t="shared" si="28"/>
        <v>0</v>
      </c>
      <c r="G330" s="13">
        <f t="shared" si="29"/>
        <v>183.77426509631914</v>
      </c>
    </row>
    <row r="331" spans="1:7" x14ac:dyDescent="0.45">
      <c r="A331">
        <f t="shared" si="25"/>
        <v>27</v>
      </c>
      <c r="B331">
        <v>314</v>
      </c>
      <c r="C331" s="16">
        <f t="shared" si="26"/>
        <v>-26287426.685008921</v>
      </c>
      <c r="D331" s="16">
        <f>IF(A331&lt;=$B$3,PMT(利回り!$F$5/12,利回り!$F$4*12,利回り!$F$2,0),0)</f>
        <v>0</v>
      </c>
      <c r="E331" s="16">
        <f t="shared" si="27"/>
        <v>0</v>
      </c>
      <c r="F331" s="16">
        <f t="shared" si="28"/>
        <v>0</v>
      </c>
      <c r="G331" s="13">
        <f t="shared" si="29"/>
        <v>183.77426509631914</v>
      </c>
    </row>
    <row r="332" spans="1:7" x14ac:dyDescent="0.45">
      <c r="A332">
        <f t="shared" si="25"/>
        <v>27</v>
      </c>
      <c r="B332">
        <v>315</v>
      </c>
      <c r="C332" s="16">
        <f t="shared" si="26"/>
        <v>-26287426.685008921</v>
      </c>
      <c r="D332" s="16">
        <f>IF(A332&lt;=$B$3,PMT(利回り!$F$5/12,利回り!$F$4*12,利回り!$F$2,0),0)</f>
        <v>0</v>
      </c>
      <c r="E332" s="16">
        <f t="shared" si="27"/>
        <v>0</v>
      </c>
      <c r="F332" s="16">
        <f t="shared" si="28"/>
        <v>0</v>
      </c>
      <c r="G332" s="13">
        <f t="shared" si="29"/>
        <v>183.77426509631914</v>
      </c>
    </row>
    <row r="333" spans="1:7" x14ac:dyDescent="0.45">
      <c r="A333">
        <f t="shared" si="25"/>
        <v>27</v>
      </c>
      <c r="B333">
        <v>316</v>
      </c>
      <c r="C333" s="16">
        <f t="shared" si="26"/>
        <v>-26287426.685008921</v>
      </c>
      <c r="D333" s="16">
        <f>IF(A333&lt;=$B$3,PMT(利回り!$F$5/12,利回り!$F$4*12,利回り!$F$2,0),0)</f>
        <v>0</v>
      </c>
      <c r="E333" s="16">
        <f t="shared" si="27"/>
        <v>0</v>
      </c>
      <c r="F333" s="16">
        <f t="shared" si="28"/>
        <v>0</v>
      </c>
      <c r="G333" s="13">
        <f t="shared" si="29"/>
        <v>183.77426509631914</v>
      </c>
    </row>
    <row r="334" spans="1:7" x14ac:dyDescent="0.45">
      <c r="A334">
        <f t="shared" si="25"/>
        <v>27</v>
      </c>
      <c r="B334">
        <v>317</v>
      </c>
      <c r="C334" s="16">
        <f t="shared" si="26"/>
        <v>-26287426.685008921</v>
      </c>
      <c r="D334" s="16">
        <f>IF(A334&lt;=$B$3,PMT(利回り!$F$5/12,利回り!$F$4*12,利回り!$F$2,0),0)</f>
        <v>0</v>
      </c>
      <c r="E334" s="16">
        <f t="shared" si="27"/>
        <v>0</v>
      </c>
      <c r="F334" s="16">
        <f t="shared" si="28"/>
        <v>0</v>
      </c>
      <c r="G334" s="13">
        <f t="shared" si="29"/>
        <v>183.77426509631914</v>
      </c>
    </row>
    <row r="335" spans="1:7" x14ac:dyDescent="0.45">
      <c r="A335">
        <f t="shared" si="25"/>
        <v>27</v>
      </c>
      <c r="B335">
        <v>318</v>
      </c>
      <c r="C335" s="16">
        <f t="shared" si="26"/>
        <v>-26287426.685008921</v>
      </c>
      <c r="D335" s="16">
        <f>IF(A335&lt;=$B$3,PMT(利回り!$F$5/12,利回り!$F$4*12,利回り!$F$2,0),0)</f>
        <v>0</v>
      </c>
      <c r="E335" s="16">
        <f t="shared" si="27"/>
        <v>0</v>
      </c>
      <c r="F335" s="16">
        <f t="shared" si="28"/>
        <v>0</v>
      </c>
      <c r="G335" s="13">
        <f t="shared" si="29"/>
        <v>183.77426509631914</v>
      </c>
    </row>
    <row r="336" spans="1:7" x14ac:dyDescent="0.45">
      <c r="A336">
        <f t="shared" si="25"/>
        <v>27</v>
      </c>
      <c r="B336">
        <v>319</v>
      </c>
      <c r="C336" s="16">
        <f t="shared" si="26"/>
        <v>-26287426.685008921</v>
      </c>
      <c r="D336" s="16">
        <f>IF(A336&lt;=$B$3,PMT(利回り!$F$5/12,利回り!$F$4*12,利回り!$F$2,0),0)</f>
        <v>0</v>
      </c>
      <c r="E336" s="16">
        <f t="shared" si="27"/>
        <v>0</v>
      </c>
      <c r="F336" s="16">
        <f t="shared" si="28"/>
        <v>0</v>
      </c>
      <c r="G336" s="13">
        <f t="shared" si="29"/>
        <v>183.77426509631914</v>
      </c>
    </row>
    <row r="337" spans="1:7" x14ac:dyDescent="0.45">
      <c r="A337">
        <f t="shared" si="25"/>
        <v>27</v>
      </c>
      <c r="B337">
        <v>320</v>
      </c>
      <c r="C337" s="16">
        <f t="shared" si="26"/>
        <v>-26287426.685008921</v>
      </c>
      <c r="D337" s="16">
        <f>IF(A337&lt;=$B$3,PMT(利回り!$F$5/12,利回り!$F$4*12,利回り!$F$2,0),0)</f>
        <v>0</v>
      </c>
      <c r="E337" s="16">
        <f t="shared" si="27"/>
        <v>0</v>
      </c>
      <c r="F337" s="16">
        <f t="shared" si="28"/>
        <v>0</v>
      </c>
      <c r="G337" s="13">
        <f t="shared" si="29"/>
        <v>183.77426509631914</v>
      </c>
    </row>
    <row r="338" spans="1:7" x14ac:dyDescent="0.45">
      <c r="A338">
        <f t="shared" si="25"/>
        <v>27</v>
      </c>
      <c r="B338">
        <v>321</v>
      </c>
      <c r="C338" s="16">
        <f t="shared" si="26"/>
        <v>-26287426.685008921</v>
      </c>
      <c r="D338" s="16">
        <f>IF(A338&lt;=$B$3,PMT(利回り!$F$5/12,利回り!$F$4*12,利回り!$F$2,0),0)</f>
        <v>0</v>
      </c>
      <c r="E338" s="16">
        <f t="shared" si="27"/>
        <v>0</v>
      </c>
      <c r="F338" s="16">
        <f t="shared" si="28"/>
        <v>0</v>
      </c>
      <c r="G338" s="13">
        <f t="shared" si="29"/>
        <v>183.77426509631914</v>
      </c>
    </row>
    <row r="339" spans="1:7" x14ac:dyDescent="0.45">
      <c r="A339">
        <f t="shared" ref="A339:A377" si="30">INT((B339-1)/12)+1</f>
        <v>27</v>
      </c>
      <c r="B339">
        <v>322</v>
      </c>
      <c r="C339" s="16">
        <f t="shared" si="26"/>
        <v>-26287426.685008921</v>
      </c>
      <c r="D339" s="16">
        <f>IF(A339&lt;=$B$3,PMT(利回り!$F$5/12,利回り!$F$4*12,利回り!$F$2,0),0)</f>
        <v>0</v>
      </c>
      <c r="E339" s="16">
        <f t="shared" si="27"/>
        <v>0</v>
      </c>
      <c r="F339" s="16">
        <f t="shared" si="28"/>
        <v>0</v>
      </c>
      <c r="G339" s="13">
        <f t="shared" si="29"/>
        <v>183.77426509631914</v>
      </c>
    </row>
    <row r="340" spans="1:7" x14ac:dyDescent="0.45">
      <c r="A340">
        <f t="shared" si="30"/>
        <v>27</v>
      </c>
      <c r="B340">
        <v>323</v>
      </c>
      <c r="C340" s="16">
        <f t="shared" si="26"/>
        <v>-26287426.685008921</v>
      </c>
      <c r="D340" s="16">
        <f>IF(A340&lt;=$B$3,PMT(利回り!$F$5/12,利回り!$F$4*12,利回り!$F$2,0),0)</f>
        <v>0</v>
      </c>
      <c r="E340" s="16">
        <f t="shared" si="27"/>
        <v>0</v>
      </c>
      <c r="F340" s="16">
        <f t="shared" si="28"/>
        <v>0</v>
      </c>
      <c r="G340" s="13">
        <f t="shared" si="29"/>
        <v>183.77426509631914</v>
      </c>
    </row>
    <row r="341" spans="1:7" x14ac:dyDescent="0.45">
      <c r="A341">
        <f t="shared" si="30"/>
        <v>27</v>
      </c>
      <c r="B341">
        <v>324</v>
      </c>
      <c r="C341" s="16">
        <f t="shared" ref="C341:C377" si="31">C340+D340</f>
        <v>-26287426.685008921</v>
      </c>
      <c r="D341" s="16">
        <f>IF(A341&lt;=$B$3,PMT(利回り!$F$5/12,利回り!$F$4*12,利回り!$F$2,0),0)</f>
        <v>0</v>
      </c>
      <c r="E341" s="16">
        <f t="shared" ref="E341:E377" si="32">D341-F341</f>
        <v>0</v>
      </c>
      <c r="F341" s="16">
        <f t="shared" ref="F341:F377" si="33">-ROUNDUP(IF(A341&lt;=$B$3,($B$4/12)*G340,0),0)</f>
        <v>0</v>
      </c>
      <c r="G341" s="13">
        <f t="shared" ref="G341:G377" si="34">IF(G340+E341&gt;0,G340+E341,0)</f>
        <v>183.77426509631914</v>
      </c>
    </row>
    <row r="342" spans="1:7" x14ac:dyDescent="0.45">
      <c r="A342">
        <f t="shared" si="30"/>
        <v>28</v>
      </c>
      <c r="B342">
        <v>325</v>
      </c>
      <c r="C342" s="16">
        <f t="shared" si="31"/>
        <v>-26287426.685008921</v>
      </c>
      <c r="D342" s="16">
        <f>IF(A342&lt;=$B$3,PMT(利回り!$F$5/12,利回り!$F$4*12,利回り!$F$2,0),0)</f>
        <v>0</v>
      </c>
      <c r="E342" s="16">
        <f t="shared" si="32"/>
        <v>0</v>
      </c>
      <c r="F342" s="16">
        <f t="shared" si="33"/>
        <v>0</v>
      </c>
      <c r="G342" s="13">
        <f t="shared" si="34"/>
        <v>183.77426509631914</v>
      </c>
    </row>
    <row r="343" spans="1:7" x14ac:dyDescent="0.45">
      <c r="A343">
        <f t="shared" si="30"/>
        <v>28</v>
      </c>
      <c r="B343">
        <v>326</v>
      </c>
      <c r="C343" s="16">
        <f t="shared" si="31"/>
        <v>-26287426.685008921</v>
      </c>
      <c r="D343" s="16">
        <f>IF(A343&lt;=$B$3,PMT(利回り!$F$5/12,利回り!$F$4*12,利回り!$F$2,0),0)</f>
        <v>0</v>
      </c>
      <c r="E343" s="16">
        <f t="shared" si="32"/>
        <v>0</v>
      </c>
      <c r="F343" s="16">
        <f t="shared" si="33"/>
        <v>0</v>
      </c>
      <c r="G343" s="13">
        <f t="shared" si="34"/>
        <v>183.77426509631914</v>
      </c>
    </row>
    <row r="344" spans="1:7" x14ac:dyDescent="0.45">
      <c r="A344">
        <f t="shared" si="30"/>
        <v>28</v>
      </c>
      <c r="B344">
        <v>327</v>
      </c>
      <c r="C344" s="16">
        <f t="shared" si="31"/>
        <v>-26287426.685008921</v>
      </c>
      <c r="D344" s="16">
        <f>IF(A344&lt;=$B$3,PMT(利回り!$F$5/12,利回り!$F$4*12,利回り!$F$2,0),0)</f>
        <v>0</v>
      </c>
      <c r="E344" s="16">
        <f t="shared" si="32"/>
        <v>0</v>
      </c>
      <c r="F344" s="16">
        <f t="shared" si="33"/>
        <v>0</v>
      </c>
      <c r="G344" s="13">
        <f t="shared" si="34"/>
        <v>183.77426509631914</v>
      </c>
    </row>
    <row r="345" spans="1:7" x14ac:dyDescent="0.45">
      <c r="A345">
        <f t="shared" si="30"/>
        <v>28</v>
      </c>
      <c r="B345">
        <v>328</v>
      </c>
      <c r="C345" s="16">
        <f t="shared" si="31"/>
        <v>-26287426.685008921</v>
      </c>
      <c r="D345" s="16">
        <f>IF(A345&lt;=$B$3,PMT(利回り!$F$5/12,利回り!$F$4*12,利回り!$F$2,0),0)</f>
        <v>0</v>
      </c>
      <c r="E345" s="16">
        <f t="shared" si="32"/>
        <v>0</v>
      </c>
      <c r="F345" s="16">
        <f t="shared" si="33"/>
        <v>0</v>
      </c>
      <c r="G345" s="13">
        <f t="shared" si="34"/>
        <v>183.77426509631914</v>
      </c>
    </row>
    <row r="346" spans="1:7" x14ac:dyDescent="0.45">
      <c r="A346">
        <f t="shared" si="30"/>
        <v>28</v>
      </c>
      <c r="B346">
        <v>329</v>
      </c>
      <c r="C346" s="16">
        <f t="shared" si="31"/>
        <v>-26287426.685008921</v>
      </c>
      <c r="D346" s="16">
        <f>IF(A346&lt;=$B$3,PMT(利回り!$F$5/12,利回り!$F$4*12,利回り!$F$2,0),0)</f>
        <v>0</v>
      </c>
      <c r="E346" s="16">
        <f t="shared" si="32"/>
        <v>0</v>
      </c>
      <c r="F346" s="16">
        <f t="shared" si="33"/>
        <v>0</v>
      </c>
      <c r="G346" s="13">
        <f t="shared" si="34"/>
        <v>183.77426509631914</v>
      </c>
    </row>
    <row r="347" spans="1:7" x14ac:dyDescent="0.45">
      <c r="A347">
        <f t="shared" si="30"/>
        <v>28</v>
      </c>
      <c r="B347">
        <v>330</v>
      </c>
      <c r="C347" s="16">
        <f t="shared" si="31"/>
        <v>-26287426.685008921</v>
      </c>
      <c r="D347" s="16">
        <f>IF(A347&lt;=$B$3,PMT(利回り!$F$5/12,利回り!$F$4*12,利回り!$F$2,0),0)</f>
        <v>0</v>
      </c>
      <c r="E347" s="16">
        <f t="shared" si="32"/>
        <v>0</v>
      </c>
      <c r="F347" s="16">
        <f t="shared" si="33"/>
        <v>0</v>
      </c>
      <c r="G347" s="13">
        <f t="shared" si="34"/>
        <v>183.77426509631914</v>
      </c>
    </row>
    <row r="348" spans="1:7" x14ac:dyDescent="0.45">
      <c r="A348">
        <f t="shared" si="30"/>
        <v>28</v>
      </c>
      <c r="B348">
        <v>331</v>
      </c>
      <c r="C348" s="16">
        <f t="shared" si="31"/>
        <v>-26287426.685008921</v>
      </c>
      <c r="D348" s="16">
        <f>IF(A348&lt;=$B$3,PMT(利回り!$F$5/12,利回り!$F$4*12,利回り!$F$2,0),0)</f>
        <v>0</v>
      </c>
      <c r="E348" s="16">
        <f t="shared" si="32"/>
        <v>0</v>
      </c>
      <c r="F348" s="16">
        <f t="shared" si="33"/>
        <v>0</v>
      </c>
      <c r="G348" s="13">
        <f t="shared" si="34"/>
        <v>183.77426509631914</v>
      </c>
    </row>
    <row r="349" spans="1:7" x14ac:dyDescent="0.45">
      <c r="A349">
        <f t="shared" si="30"/>
        <v>28</v>
      </c>
      <c r="B349">
        <v>332</v>
      </c>
      <c r="C349" s="16">
        <f t="shared" si="31"/>
        <v>-26287426.685008921</v>
      </c>
      <c r="D349" s="16">
        <f>IF(A349&lt;=$B$3,PMT(利回り!$F$5/12,利回り!$F$4*12,利回り!$F$2,0),0)</f>
        <v>0</v>
      </c>
      <c r="E349" s="16">
        <f t="shared" si="32"/>
        <v>0</v>
      </c>
      <c r="F349" s="16">
        <f t="shared" si="33"/>
        <v>0</v>
      </c>
      <c r="G349" s="13">
        <f t="shared" si="34"/>
        <v>183.77426509631914</v>
      </c>
    </row>
    <row r="350" spans="1:7" x14ac:dyDescent="0.45">
      <c r="A350">
        <f t="shared" si="30"/>
        <v>28</v>
      </c>
      <c r="B350">
        <v>333</v>
      </c>
      <c r="C350" s="16">
        <f t="shared" si="31"/>
        <v>-26287426.685008921</v>
      </c>
      <c r="D350" s="16">
        <f>IF(A350&lt;=$B$3,PMT(利回り!$F$5/12,利回り!$F$4*12,利回り!$F$2,0),0)</f>
        <v>0</v>
      </c>
      <c r="E350" s="16">
        <f t="shared" si="32"/>
        <v>0</v>
      </c>
      <c r="F350" s="16">
        <f t="shared" si="33"/>
        <v>0</v>
      </c>
      <c r="G350" s="13">
        <f t="shared" si="34"/>
        <v>183.77426509631914</v>
      </c>
    </row>
    <row r="351" spans="1:7" x14ac:dyDescent="0.45">
      <c r="A351">
        <f t="shared" si="30"/>
        <v>28</v>
      </c>
      <c r="B351">
        <v>334</v>
      </c>
      <c r="C351" s="16">
        <f t="shared" si="31"/>
        <v>-26287426.685008921</v>
      </c>
      <c r="D351" s="16">
        <f>IF(A351&lt;=$B$3,PMT(利回り!$F$5/12,利回り!$F$4*12,利回り!$F$2,0),0)</f>
        <v>0</v>
      </c>
      <c r="E351" s="16">
        <f t="shared" si="32"/>
        <v>0</v>
      </c>
      <c r="F351" s="16">
        <f t="shared" si="33"/>
        <v>0</v>
      </c>
      <c r="G351" s="13">
        <f t="shared" si="34"/>
        <v>183.77426509631914</v>
      </c>
    </row>
    <row r="352" spans="1:7" x14ac:dyDescent="0.45">
      <c r="A352">
        <f t="shared" si="30"/>
        <v>28</v>
      </c>
      <c r="B352">
        <v>335</v>
      </c>
      <c r="C352" s="16">
        <f t="shared" si="31"/>
        <v>-26287426.685008921</v>
      </c>
      <c r="D352" s="16">
        <f>IF(A352&lt;=$B$3,PMT(利回り!$F$5/12,利回り!$F$4*12,利回り!$F$2,0),0)</f>
        <v>0</v>
      </c>
      <c r="E352" s="16">
        <f t="shared" si="32"/>
        <v>0</v>
      </c>
      <c r="F352" s="16">
        <f t="shared" si="33"/>
        <v>0</v>
      </c>
      <c r="G352" s="13">
        <f t="shared" si="34"/>
        <v>183.77426509631914</v>
      </c>
    </row>
    <row r="353" spans="1:7" x14ac:dyDescent="0.45">
      <c r="A353">
        <f t="shared" si="30"/>
        <v>28</v>
      </c>
      <c r="B353">
        <v>336</v>
      </c>
      <c r="C353" s="16">
        <f t="shared" si="31"/>
        <v>-26287426.685008921</v>
      </c>
      <c r="D353" s="16">
        <f>IF(A353&lt;=$B$3,PMT(利回り!$F$5/12,利回り!$F$4*12,利回り!$F$2,0),0)</f>
        <v>0</v>
      </c>
      <c r="E353" s="16">
        <f t="shared" si="32"/>
        <v>0</v>
      </c>
      <c r="F353" s="16">
        <f t="shared" si="33"/>
        <v>0</v>
      </c>
      <c r="G353" s="13">
        <f t="shared" si="34"/>
        <v>183.77426509631914</v>
      </c>
    </row>
    <row r="354" spans="1:7" x14ac:dyDescent="0.45">
      <c r="A354">
        <f t="shared" si="30"/>
        <v>29</v>
      </c>
      <c r="B354">
        <v>337</v>
      </c>
      <c r="C354" s="16">
        <f t="shared" si="31"/>
        <v>-26287426.685008921</v>
      </c>
      <c r="D354" s="16">
        <f>IF(A354&lt;=$B$3,PMT(利回り!$F$5/12,利回り!$F$4*12,利回り!$F$2,0),0)</f>
        <v>0</v>
      </c>
      <c r="E354" s="16">
        <f t="shared" si="32"/>
        <v>0</v>
      </c>
      <c r="F354" s="16">
        <f t="shared" si="33"/>
        <v>0</v>
      </c>
      <c r="G354" s="13">
        <f t="shared" si="34"/>
        <v>183.77426509631914</v>
      </c>
    </row>
    <row r="355" spans="1:7" x14ac:dyDescent="0.45">
      <c r="A355">
        <f t="shared" si="30"/>
        <v>29</v>
      </c>
      <c r="B355">
        <v>338</v>
      </c>
      <c r="C355" s="16">
        <f t="shared" si="31"/>
        <v>-26287426.685008921</v>
      </c>
      <c r="D355" s="16">
        <f>IF(A355&lt;=$B$3,PMT(利回り!$F$5/12,利回り!$F$4*12,利回り!$F$2,0),0)</f>
        <v>0</v>
      </c>
      <c r="E355" s="16">
        <f t="shared" si="32"/>
        <v>0</v>
      </c>
      <c r="F355" s="16">
        <f t="shared" si="33"/>
        <v>0</v>
      </c>
      <c r="G355" s="13">
        <f t="shared" si="34"/>
        <v>183.77426509631914</v>
      </c>
    </row>
    <row r="356" spans="1:7" x14ac:dyDescent="0.45">
      <c r="A356">
        <f t="shared" si="30"/>
        <v>29</v>
      </c>
      <c r="B356">
        <v>339</v>
      </c>
      <c r="C356" s="16">
        <f t="shared" si="31"/>
        <v>-26287426.685008921</v>
      </c>
      <c r="D356" s="16">
        <f>IF(A356&lt;=$B$3,PMT(利回り!$F$5/12,利回り!$F$4*12,利回り!$F$2,0),0)</f>
        <v>0</v>
      </c>
      <c r="E356" s="16">
        <f t="shared" si="32"/>
        <v>0</v>
      </c>
      <c r="F356" s="16">
        <f t="shared" si="33"/>
        <v>0</v>
      </c>
      <c r="G356" s="13">
        <f t="shared" si="34"/>
        <v>183.77426509631914</v>
      </c>
    </row>
    <row r="357" spans="1:7" x14ac:dyDescent="0.45">
      <c r="A357">
        <f t="shared" si="30"/>
        <v>29</v>
      </c>
      <c r="B357">
        <v>340</v>
      </c>
      <c r="C357" s="16">
        <f t="shared" si="31"/>
        <v>-26287426.685008921</v>
      </c>
      <c r="D357" s="16">
        <f>IF(A357&lt;=$B$3,PMT(利回り!$F$5/12,利回り!$F$4*12,利回り!$F$2,0),0)</f>
        <v>0</v>
      </c>
      <c r="E357" s="16">
        <f t="shared" si="32"/>
        <v>0</v>
      </c>
      <c r="F357" s="16">
        <f t="shared" si="33"/>
        <v>0</v>
      </c>
      <c r="G357" s="13">
        <f t="shared" si="34"/>
        <v>183.77426509631914</v>
      </c>
    </row>
    <row r="358" spans="1:7" x14ac:dyDescent="0.45">
      <c r="A358">
        <f t="shared" si="30"/>
        <v>29</v>
      </c>
      <c r="B358">
        <v>341</v>
      </c>
      <c r="C358" s="16">
        <f t="shared" si="31"/>
        <v>-26287426.685008921</v>
      </c>
      <c r="D358" s="16">
        <f>IF(A358&lt;=$B$3,PMT(利回り!$F$5/12,利回り!$F$4*12,利回り!$F$2,0),0)</f>
        <v>0</v>
      </c>
      <c r="E358" s="16">
        <f t="shared" si="32"/>
        <v>0</v>
      </c>
      <c r="F358" s="16">
        <f t="shared" si="33"/>
        <v>0</v>
      </c>
      <c r="G358" s="13">
        <f t="shared" si="34"/>
        <v>183.77426509631914</v>
      </c>
    </row>
    <row r="359" spans="1:7" x14ac:dyDescent="0.45">
      <c r="A359">
        <f t="shared" si="30"/>
        <v>29</v>
      </c>
      <c r="B359">
        <v>342</v>
      </c>
      <c r="C359" s="16">
        <f t="shared" si="31"/>
        <v>-26287426.685008921</v>
      </c>
      <c r="D359" s="16">
        <f>IF(A359&lt;=$B$3,PMT(利回り!$F$5/12,利回り!$F$4*12,利回り!$F$2,0),0)</f>
        <v>0</v>
      </c>
      <c r="E359" s="16">
        <f t="shared" si="32"/>
        <v>0</v>
      </c>
      <c r="F359" s="16">
        <f t="shared" si="33"/>
        <v>0</v>
      </c>
      <c r="G359" s="13">
        <f t="shared" si="34"/>
        <v>183.77426509631914</v>
      </c>
    </row>
    <row r="360" spans="1:7" x14ac:dyDescent="0.45">
      <c r="A360">
        <f t="shared" si="30"/>
        <v>29</v>
      </c>
      <c r="B360">
        <v>343</v>
      </c>
      <c r="C360" s="16">
        <f t="shared" si="31"/>
        <v>-26287426.685008921</v>
      </c>
      <c r="D360" s="16">
        <f>IF(A360&lt;=$B$3,PMT(利回り!$F$5/12,利回り!$F$4*12,利回り!$F$2,0),0)</f>
        <v>0</v>
      </c>
      <c r="E360" s="16">
        <f t="shared" si="32"/>
        <v>0</v>
      </c>
      <c r="F360" s="16">
        <f t="shared" si="33"/>
        <v>0</v>
      </c>
      <c r="G360" s="13">
        <f t="shared" si="34"/>
        <v>183.77426509631914</v>
      </c>
    </row>
    <row r="361" spans="1:7" x14ac:dyDescent="0.45">
      <c r="A361">
        <f t="shared" si="30"/>
        <v>29</v>
      </c>
      <c r="B361">
        <v>344</v>
      </c>
      <c r="C361" s="16">
        <f t="shared" si="31"/>
        <v>-26287426.685008921</v>
      </c>
      <c r="D361" s="16">
        <f>IF(A361&lt;=$B$3,PMT(利回り!$F$5/12,利回り!$F$4*12,利回り!$F$2,0),0)</f>
        <v>0</v>
      </c>
      <c r="E361" s="16">
        <f t="shared" si="32"/>
        <v>0</v>
      </c>
      <c r="F361" s="16">
        <f t="shared" si="33"/>
        <v>0</v>
      </c>
      <c r="G361" s="13">
        <f t="shared" si="34"/>
        <v>183.77426509631914</v>
      </c>
    </row>
    <row r="362" spans="1:7" x14ac:dyDescent="0.45">
      <c r="A362">
        <f t="shared" si="30"/>
        <v>29</v>
      </c>
      <c r="B362">
        <v>345</v>
      </c>
      <c r="C362" s="16">
        <f t="shared" si="31"/>
        <v>-26287426.685008921</v>
      </c>
      <c r="D362" s="16">
        <f>IF(A362&lt;=$B$3,PMT(利回り!$F$5/12,利回り!$F$4*12,利回り!$F$2,0),0)</f>
        <v>0</v>
      </c>
      <c r="E362" s="16">
        <f t="shared" si="32"/>
        <v>0</v>
      </c>
      <c r="F362" s="16">
        <f t="shared" si="33"/>
        <v>0</v>
      </c>
      <c r="G362" s="13">
        <f t="shared" si="34"/>
        <v>183.77426509631914</v>
      </c>
    </row>
    <row r="363" spans="1:7" x14ac:dyDescent="0.45">
      <c r="A363">
        <f t="shared" si="30"/>
        <v>29</v>
      </c>
      <c r="B363">
        <v>346</v>
      </c>
      <c r="C363" s="16">
        <f t="shared" si="31"/>
        <v>-26287426.685008921</v>
      </c>
      <c r="D363" s="16">
        <f>IF(A363&lt;=$B$3,PMT(利回り!$F$5/12,利回り!$F$4*12,利回り!$F$2,0),0)</f>
        <v>0</v>
      </c>
      <c r="E363" s="16">
        <f t="shared" si="32"/>
        <v>0</v>
      </c>
      <c r="F363" s="16">
        <f t="shared" si="33"/>
        <v>0</v>
      </c>
      <c r="G363" s="13">
        <f t="shared" si="34"/>
        <v>183.77426509631914</v>
      </c>
    </row>
    <row r="364" spans="1:7" x14ac:dyDescent="0.45">
      <c r="A364">
        <f t="shared" si="30"/>
        <v>29</v>
      </c>
      <c r="B364">
        <v>347</v>
      </c>
      <c r="C364" s="16">
        <f t="shared" si="31"/>
        <v>-26287426.685008921</v>
      </c>
      <c r="D364" s="16">
        <f>IF(A364&lt;=$B$3,PMT(利回り!$F$5/12,利回り!$F$4*12,利回り!$F$2,0),0)</f>
        <v>0</v>
      </c>
      <c r="E364" s="16">
        <f t="shared" si="32"/>
        <v>0</v>
      </c>
      <c r="F364" s="16">
        <f t="shared" si="33"/>
        <v>0</v>
      </c>
      <c r="G364" s="13">
        <f t="shared" si="34"/>
        <v>183.77426509631914</v>
      </c>
    </row>
    <row r="365" spans="1:7" x14ac:dyDescent="0.45">
      <c r="A365">
        <f t="shared" si="30"/>
        <v>29</v>
      </c>
      <c r="B365">
        <v>348</v>
      </c>
      <c r="C365" s="16">
        <f t="shared" si="31"/>
        <v>-26287426.685008921</v>
      </c>
      <c r="D365" s="16">
        <f>IF(A365&lt;=$B$3,PMT(利回り!$F$5/12,利回り!$F$4*12,利回り!$F$2,0),0)</f>
        <v>0</v>
      </c>
      <c r="E365" s="16">
        <f t="shared" si="32"/>
        <v>0</v>
      </c>
      <c r="F365" s="16">
        <f t="shared" si="33"/>
        <v>0</v>
      </c>
      <c r="G365" s="13">
        <f t="shared" si="34"/>
        <v>183.77426509631914</v>
      </c>
    </row>
    <row r="366" spans="1:7" x14ac:dyDescent="0.45">
      <c r="A366">
        <f t="shared" si="30"/>
        <v>30</v>
      </c>
      <c r="B366">
        <v>349</v>
      </c>
      <c r="C366" s="16">
        <f t="shared" si="31"/>
        <v>-26287426.685008921</v>
      </c>
      <c r="D366" s="16">
        <f>IF(A366&lt;=$B$3,PMT(利回り!$F$5/12,利回り!$F$4*12,利回り!$F$2,0),0)</f>
        <v>0</v>
      </c>
      <c r="E366" s="16">
        <f t="shared" si="32"/>
        <v>0</v>
      </c>
      <c r="F366" s="16">
        <f t="shared" si="33"/>
        <v>0</v>
      </c>
      <c r="G366" s="13">
        <f t="shared" si="34"/>
        <v>183.77426509631914</v>
      </c>
    </row>
    <row r="367" spans="1:7" x14ac:dyDescent="0.45">
      <c r="A367">
        <f t="shared" si="30"/>
        <v>30</v>
      </c>
      <c r="B367">
        <v>350</v>
      </c>
      <c r="C367" s="16">
        <f t="shared" si="31"/>
        <v>-26287426.685008921</v>
      </c>
      <c r="D367" s="16">
        <f>IF(A367&lt;=$B$3,PMT(利回り!$F$5/12,利回り!$F$4*12,利回り!$F$2,0),0)</f>
        <v>0</v>
      </c>
      <c r="E367" s="16">
        <f t="shared" si="32"/>
        <v>0</v>
      </c>
      <c r="F367" s="16">
        <f t="shared" si="33"/>
        <v>0</v>
      </c>
      <c r="G367" s="13">
        <f t="shared" si="34"/>
        <v>183.77426509631914</v>
      </c>
    </row>
    <row r="368" spans="1:7" x14ac:dyDescent="0.45">
      <c r="A368">
        <f t="shared" si="30"/>
        <v>30</v>
      </c>
      <c r="B368">
        <v>351</v>
      </c>
      <c r="C368" s="16">
        <f t="shared" si="31"/>
        <v>-26287426.685008921</v>
      </c>
      <c r="D368" s="16">
        <f>IF(A368&lt;=$B$3,PMT(利回り!$F$5/12,利回り!$F$4*12,利回り!$F$2,0),0)</f>
        <v>0</v>
      </c>
      <c r="E368" s="16">
        <f t="shared" si="32"/>
        <v>0</v>
      </c>
      <c r="F368" s="16">
        <f t="shared" si="33"/>
        <v>0</v>
      </c>
      <c r="G368" s="13">
        <f t="shared" si="34"/>
        <v>183.77426509631914</v>
      </c>
    </row>
    <row r="369" spans="1:7" x14ac:dyDescent="0.45">
      <c r="A369">
        <f t="shared" si="30"/>
        <v>30</v>
      </c>
      <c r="B369">
        <v>352</v>
      </c>
      <c r="C369" s="16">
        <f t="shared" si="31"/>
        <v>-26287426.685008921</v>
      </c>
      <c r="D369" s="16">
        <f>IF(A369&lt;=$B$3,PMT(利回り!$F$5/12,利回り!$F$4*12,利回り!$F$2,0),0)</f>
        <v>0</v>
      </c>
      <c r="E369" s="16">
        <f t="shared" si="32"/>
        <v>0</v>
      </c>
      <c r="F369" s="16">
        <f t="shared" si="33"/>
        <v>0</v>
      </c>
      <c r="G369" s="13">
        <f t="shared" si="34"/>
        <v>183.77426509631914</v>
      </c>
    </row>
    <row r="370" spans="1:7" x14ac:dyDescent="0.45">
      <c r="A370">
        <f t="shared" si="30"/>
        <v>30</v>
      </c>
      <c r="B370">
        <v>353</v>
      </c>
      <c r="C370" s="16">
        <f t="shared" si="31"/>
        <v>-26287426.685008921</v>
      </c>
      <c r="D370" s="16">
        <f>IF(A370&lt;=$B$3,PMT(利回り!$F$5/12,利回り!$F$4*12,利回り!$F$2,0),0)</f>
        <v>0</v>
      </c>
      <c r="E370" s="16">
        <f t="shared" si="32"/>
        <v>0</v>
      </c>
      <c r="F370" s="16">
        <f t="shared" si="33"/>
        <v>0</v>
      </c>
      <c r="G370" s="13">
        <f t="shared" si="34"/>
        <v>183.77426509631914</v>
      </c>
    </row>
    <row r="371" spans="1:7" x14ac:dyDescent="0.45">
      <c r="A371">
        <f t="shared" si="30"/>
        <v>30</v>
      </c>
      <c r="B371">
        <v>354</v>
      </c>
      <c r="C371" s="16">
        <f t="shared" si="31"/>
        <v>-26287426.685008921</v>
      </c>
      <c r="D371" s="16">
        <f>IF(A371&lt;=$B$3,PMT(利回り!$F$5/12,利回り!$F$4*12,利回り!$F$2,0),0)</f>
        <v>0</v>
      </c>
      <c r="E371" s="16">
        <f t="shared" si="32"/>
        <v>0</v>
      </c>
      <c r="F371" s="16">
        <f t="shared" si="33"/>
        <v>0</v>
      </c>
      <c r="G371" s="13">
        <f t="shared" si="34"/>
        <v>183.77426509631914</v>
      </c>
    </row>
    <row r="372" spans="1:7" x14ac:dyDescent="0.45">
      <c r="A372">
        <f t="shared" si="30"/>
        <v>30</v>
      </c>
      <c r="B372">
        <v>355</v>
      </c>
      <c r="C372" s="16">
        <f t="shared" si="31"/>
        <v>-26287426.685008921</v>
      </c>
      <c r="D372" s="16">
        <f>IF(A372&lt;=$B$3,PMT(利回り!$F$5/12,利回り!$F$4*12,利回り!$F$2,0),0)</f>
        <v>0</v>
      </c>
      <c r="E372" s="16">
        <f t="shared" si="32"/>
        <v>0</v>
      </c>
      <c r="F372" s="16">
        <f t="shared" si="33"/>
        <v>0</v>
      </c>
      <c r="G372" s="13">
        <f t="shared" si="34"/>
        <v>183.77426509631914</v>
      </c>
    </row>
    <row r="373" spans="1:7" x14ac:dyDescent="0.45">
      <c r="A373">
        <f t="shared" si="30"/>
        <v>30</v>
      </c>
      <c r="B373">
        <v>356</v>
      </c>
      <c r="C373" s="16">
        <f t="shared" si="31"/>
        <v>-26287426.685008921</v>
      </c>
      <c r="D373" s="16">
        <f>IF(A373&lt;=$B$3,PMT(利回り!$F$5/12,利回り!$F$4*12,利回り!$F$2,0),0)</f>
        <v>0</v>
      </c>
      <c r="E373" s="16">
        <f t="shared" si="32"/>
        <v>0</v>
      </c>
      <c r="F373" s="16">
        <f t="shared" si="33"/>
        <v>0</v>
      </c>
      <c r="G373" s="13">
        <f t="shared" si="34"/>
        <v>183.77426509631914</v>
      </c>
    </row>
    <row r="374" spans="1:7" x14ac:dyDescent="0.45">
      <c r="A374">
        <f t="shared" si="30"/>
        <v>30</v>
      </c>
      <c r="B374">
        <v>357</v>
      </c>
      <c r="C374" s="16">
        <f t="shared" si="31"/>
        <v>-26287426.685008921</v>
      </c>
      <c r="D374" s="16">
        <f>IF(A374&lt;=$B$3,PMT(利回り!$F$5/12,利回り!$F$4*12,利回り!$F$2,0),0)</f>
        <v>0</v>
      </c>
      <c r="E374" s="16">
        <f t="shared" si="32"/>
        <v>0</v>
      </c>
      <c r="F374" s="16">
        <f t="shared" si="33"/>
        <v>0</v>
      </c>
      <c r="G374" s="13">
        <f t="shared" si="34"/>
        <v>183.77426509631914</v>
      </c>
    </row>
    <row r="375" spans="1:7" x14ac:dyDescent="0.45">
      <c r="A375">
        <f t="shared" si="30"/>
        <v>30</v>
      </c>
      <c r="B375">
        <v>358</v>
      </c>
      <c r="C375" s="16">
        <f t="shared" si="31"/>
        <v>-26287426.685008921</v>
      </c>
      <c r="D375" s="16">
        <f>IF(A375&lt;=$B$3,PMT(利回り!$F$5/12,利回り!$F$4*12,利回り!$F$2,0),0)</f>
        <v>0</v>
      </c>
      <c r="E375" s="16">
        <f t="shared" si="32"/>
        <v>0</v>
      </c>
      <c r="F375" s="16">
        <f t="shared" si="33"/>
        <v>0</v>
      </c>
      <c r="G375" s="13">
        <f t="shared" si="34"/>
        <v>183.77426509631914</v>
      </c>
    </row>
    <row r="376" spans="1:7" x14ac:dyDescent="0.45">
      <c r="A376">
        <f t="shared" si="30"/>
        <v>30</v>
      </c>
      <c r="B376">
        <v>359</v>
      </c>
      <c r="C376" s="16">
        <f t="shared" si="31"/>
        <v>-26287426.685008921</v>
      </c>
      <c r="D376" s="16">
        <f>IF(A376&lt;=$B$3,PMT(利回り!$F$5/12,利回り!$F$4*12,利回り!$F$2,0),0)</f>
        <v>0</v>
      </c>
      <c r="E376" s="16">
        <f t="shared" si="32"/>
        <v>0</v>
      </c>
      <c r="F376" s="16">
        <f t="shared" si="33"/>
        <v>0</v>
      </c>
      <c r="G376" s="13">
        <f t="shared" si="34"/>
        <v>183.77426509631914</v>
      </c>
    </row>
    <row r="377" spans="1:7" x14ac:dyDescent="0.45">
      <c r="A377">
        <f t="shared" si="30"/>
        <v>30</v>
      </c>
      <c r="B377">
        <v>360</v>
      </c>
      <c r="C377" s="16">
        <f t="shared" si="31"/>
        <v>-26287426.685008921</v>
      </c>
      <c r="D377" s="16">
        <f>IF(A377&lt;=$B$3,PMT(利回り!$F$5/12,利回り!$F$4*12,利回り!$F$2,0),0)</f>
        <v>0</v>
      </c>
      <c r="E377" s="16">
        <f t="shared" si="32"/>
        <v>0</v>
      </c>
      <c r="F377" s="16">
        <f t="shared" si="33"/>
        <v>0</v>
      </c>
      <c r="G377" s="13">
        <f t="shared" si="34"/>
        <v>183.77426509631914</v>
      </c>
    </row>
  </sheetData>
  <phoneticPr fontId="2"/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47808-ED21-4C3B-9E7D-54A053138937}">
  <dimension ref="A2:AK41"/>
  <sheetViews>
    <sheetView topLeftCell="A10" zoomScaleNormal="100" workbookViewId="0">
      <selection activeCell="C6" sqref="C6"/>
    </sheetView>
  </sheetViews>
  <sheetFormatPr defaultRowHeight="18" x14ac:dyDescent="0.45"/>
  <cols>
    <col min="3" max="3" width="12.8984375" style="27" bestFit="1" customWidth="1"/>
    <col min="5" max="5" width="23.796875" customWidth="1"/>
    <col min="6" max="36" width="12.5" customWidth="1"/>
    <col min="37" max="37" width="11.09765625" bestFit="1" customWidth="1"/>
  </cols>
  <sheetData>
    <row r="2" spans="1:36" x14ac:dyDescent="0.45">
      <c r="E2" t="s">
        <v>32</v>
      </c>
      <c r="F2" s="23" t="s">
        <v>40</v>
      </c>
      <c r="G2">
        <v>1</v>
      </c>
      <c r="H2">
        <v>2</v>
      </c>
      <c r="I2">
        <v>3</v>
      </c>
      <c r="J2">
        <v>4</v>
      </c>
      <c r="K2">
        <v>5</v>
      </c>
      <c r="L2">
        <v>6</v>
      </c>
      <c r="M2">
        <v>7</v>
      </c>
      <c r="N2">
        <v>8</v>
      </c>
      <c r="O2">
        <v>9</v>
      </c>
      <c r="P2">
        <v>10</v>
      </c>
      <c r="Q2">
        <v>11</v>
      </c>
      <c r="R2">
        <v>12</v>
      </c>
      <c r="S2">
        <v>13</v>
      </c>
      <c r="T2">
        <v>14</v>
      </c>
      <c r="U2">
        <v>15</v>
      </c>
      <c r="V2">
        <v>16</v>
      </c>
      <c r="W2">
        <v>17</v>
      </c>
      <c r="X2">
        <v>18</v>
      </c>
      <c r="Y2">
        <v>19</v>
      </c>
      <c r="Z2">
        <v>20</v>
      </c>
      <c r="AA2">
        <v>21</v>
      </c>
      <c r="AB2">
        <v>22</v>
      </c>
      <c r="AC2">
        <v>23</v>
      </c>
      <c r="AD2">
        <v>24</v>
      </c>
      <c r="AE2">
        <v>25</v>
      </c>
      <c r="AF2">
        <v>26</v>
      </c>
      <c r="AG2">
        <v>27</v>
      </c>
      <c r="AH2">
        <v>28</v>
      </c>
      <c r="AI2">
        <v>29</v>
      </c>
      <c r="AJ2">
        <v>30</v>
      </c>
    </row>
    <row r="3" spans="1:36" x14ac:dyDescent="0.45">
      <c r="E3" s="16" t="str">
        <f>年推移!$A$21</f>
        <v>税引き後CF</v>
      </c>
      <c r="F3" s="16">
        <f>年推移!B21</f>
        <v>-4000000</v>
      </c>
      <c r="G3" s="16">
        <f>年推移!C21</f>
        <v>1010666.0315703985</v>
      </c>
      <c r="H3" s="16">
        <f>年推移!D21</f>
        <v>985694.9315703985</v>
      </c>
      <c r="I3" s="16">
        <f>年推移!E21</f>
        <v>960600.53157039848</v>
      </c>
      <c r="J3" s="16">
        <f>年推移!F21</f>
        <v>935371.46757039847</v>
      </c>
      <c r="K3" s="16">
        <f>年推移!G21</f>
        <v>909990.69321039855</v>
      </c>
      <c r="L3" s="16">
        <f>年推移!H21</f>
        <v>884444.7795939981</v>
      </c>
      <c r="M3" s="16">
        <f>年推移!I21</f>
        <v>858717.61511376244</v>
      </c>
      <c r="N3" s="16">
        <f>年推移!J21</f>
        <v>832793.70527832862</v>
      </c>
      <c r="O3" s="16">
        <f>年推移!K21</f>
        <v>806655.77254124917</v>
      </c>
      <c r="P3" s="16">
        <f>年推移!L21</f>
        <v>-6854.047627969645</v>
      </c>
      <c r="Q3" s="16">
        <f>年推移!M21</f>
        <v>767307.87552229292</v>
      </c>
      <c r="R3" s="16">
        <f>年推移!N21</f>
        <v>740424.97571913758</v>
      </c>
      <c r="S3" s="16">
        <f>年推移!O21</f>
        <v>713255.50891401363</v>
      </c>
      <c r="T3" s="16">
        <f>年推移!P21</f>
        <v>685781.67977694119</v>
      </c>
      <c r="U3" s="16">
        <f>年推移!Q21</f>
        <v>315123.46607409685</v>
      </c>
      <c r="V3" s="16">
        <f>年推移!R21</f>
        <v>286976.18993685173</v>
      </c>
      <c r="W3" s="16">
        <f>年推移!S21</f>
        <v>258459.2605609796</v>
      </c>
      <c r="X3" s="16">
        <f>年推移!T21</f>
        <v>229550.44547886599</v>
      </c>
      <c r="Y3" s="16">
        <f>年推移!U21</f>
        <v>200225.42754757358</v>
      </c>
      <c r="Z3" s="16">
        <f>年推移!V21</f>
        <v>-515902.23156804213</v>
      </c>
      <c r="AA3" s="16">
        <f>年推移!W21</f>
        <v>1470060.5651942422</v>
      </c>
      <c r="AB3" s="16">
        <f>年推移!X21</f>
        <v>1455632.6868150269</v>
      </c>
      <c r="AC3" s="16">
        <f>年推移!Y21</f>
        <v>1441349.0872196038</v>
      </c>
      <c r="AD3" s="16">
        <f>年推移!Z21</f>
        <v>1427208.3236201352</v>
      </c>
      <c r="AE3" s="16">
        <f>年推移!AA21</f>
        <v>1413208.9676566613</v>
      </c>
      <c r="AF3" s="16">
        <f>年推移!AB21</f>
        <v>1399349.6052528217</v>
      </c>
      <c r="AG3" s="16">
        <f>年推移!AC21</f>
        <v>1385628.8364730207</v>
      </c>
      <c r="AH3" s="16">
        <f>年推移!AD21</f>
        <v>1372045.2753810179</v>
      </c>
      <c r="AI3" s="16">
        <f>年推移!AE21</f>
        <v>1358597.5498999348</v>
      </c>
      <c r="AJ3" s="16">
        <f>年推移!AF21</f>
        <v>658920.66531002638</v>
      </c>
    </row>
    <row r="4" spans="1:36" s="16" customFormat="1" x14ac:dyDescent="0.45">
      <c r="C4" s="27"/>
      <c r="E4" s="16" t="s">
        <v>92</v>
      </c>
      <c r="F4" s="16">
        <f>年推移!B26</f>
        <v>21000000</v>
      </c>
      <c r="G4" s="16">
        <f>年推移!C26</f>
        <v>19857142.857142858</v>
      </c>
      <c r="H4" s="16">
        <f>年推移!D26</f>
        <v>18714285.714285713</v>
      </c>
      <c r="I4" s="16">
        <f>年推移!E26</f>
        <v>17571428.571428567</v>
      </c>
      <c r="J4" s="16">
        <f>年推移!F26</f>
        <v>16428571.428571425</v>
      </c>
      <c r="K4" s="16">
        <f>年推移!G26</f>
        <v>15285714.285714282</v>
      </c>
      <c r="L4" s="16">
        <f>年推移!H26</f>
        <v>14142857.142857138</v>
      </c>
      <c r="M4" s="16">
        <f>年推移!I26</f>
        <v>12999999.999999996</v>
      </c>
      <c r="N4" s="16">
        <f>年推移!J26</f>
        <v>11857142.857142853</v>
      </c>
      <c r="O4" s="16">
        <f>年推移!K26</f>
        <v>10714285.714285709</v>
      </c>
      <c r="P4" s="16">
        <f>年推移!L26</f>
        <v>10525974.02597402</v>
      </c>
      <c r="Q4" s="16">
        <f>年推移!M26</f>
        <v>9337662.3376623318</v>
      </c>
      <c r="R4" s="16">
        <f>年推移!N26</f>
        <v>8149350.6493506441</v>
      </c>
      <c r="S4" s="16">
        <f>年推移!O26</f>
        <v>6961038.9610389555</v>
      </c>
      <c r="T4" s="16">
        <f>年推移!P26</f>
        <v>5772727.2727272678</v>
      </c>
      <c r="U4" s="16">
        <f>年推移!Q26</f>
        <v>5727272.7272727219</v>
      </c>
      <c r="V4" s="16">
        <f>年推移!R26</f>
        <v>5681818.1818181761</v>
      </c>
      <c r="W4" s="16">
        <f>年推移!S26</f>
        <v>5636363.6363636311</v>
      </c>
      <c r="X4" s="16">
        <f>年推移!T26</f>
        <v>5590909.0909090862</v>
      </c>
      <c r="Y4" s="16">
        <f>年推移!U26</f>
        <v>5545454.5454545403</v>
      </c>
      <c r="Z4" s="16">
        <f>年推移!V26</f>
        <v>6454545.4545454495</v>
      </c>
      <c r="AA4" s="16">
        <f>年推移!W26</f>
        <v>6363636.3636363586</v>
      </c>
      <c r="AB4" s="16">
        <f>年推移!X26</f>
        <v>6272727.2727272678</v>
      </c>
      <c r="AC4" s="16">
        <f>年推移!Y26</f>
        <v>6181818.181818177</v>
      </c>
      <c r="AD4" s="16">
        <f>年推移!Z26</f>
        <v>6090909.0909090862</v>
      </c>
      <c r="AE4" s="16">
        <f>年推移!AA26</f>
        <v>5999999.9999999953</v>
      </c>
      <c r="AF4" s="16">
        <f>年推移!AB26</f>
        <v>5909090.9090909045</v>
      </c>
      <c r="AG4" s="16">
        <f>年推移!AC26</f>
        <v>5818181.8181818137</v>
      </c>
      <c r="AH4" s="16">
        <f>年推移!AD26</f>
        <v>5727272.7272727229</v>
      </c>
      <c r="AI4" s="16">
        <f>年推移!AE26</f>
        <v>5636363.6363636311</v>
      </c>
      <c r="AJ4" s="16">
        <f>年推移!AF26</f>
        <v>6499999.9999999953</v>
      </c>
    </row>
    <row r="5" spans="1:36" s="16" customFormat="1" x14ac:dyDescent="0.45">
      <c r="C5" s="27"/>
      <c r="E5" s="16" t="s">
        <v>90</v>
      </c>
      <c r="F5" s="27">
        <v>0.01</v>
      </c>
      <c r="G5" s="16">
        <f>F4*(1-$F$5)</f>
        <v>20790000</v>
      </c>
      <c r="H5" s="16">
        <f>G5*(1-$F$5)</f>
        <v>20582100</v>
      </c>
      <c r="I5" s="16">
        <f t="shared" ref="I5:AJ5" si="0">H5*(1-$F$5)</f>
        <v>20376279</v>
      </c>
      <c r="J5" s="16">
        <f t="shared" si="0"/>
        <v>20172516.210000001</v>
      </c>
      <c r="K5" s="16">
        <f t="shared" si="0"/>
        <v>19970791.047900002</v>
      </c>
      <c r="L5" s="16">
        <f t="shared" si="0"/>
        <v>19771083.137421001</v>
      </c>
      <c r="M5" s="16">
        <f t="shared" si="0"/>
        <v>19573372.306046791</v>
      </c>
      <c r="N5" s="16">
        <f t="shared" si="0"/>
        <v>19377638.582986325</v>
      </c>
      <c r="O5" s="16">
        <f t="shared" si="0"/>
        <v>19183862.197156463</v>
      </c>
      <c r="P5" s="16">
        <f t="shared" si="0"/>
        <v>18992023.575184897</v>
      </c>
      <c r="Q5" s="16">
        <f t="shared" si="0"/>
        <v>18802103.339433048</v>
      </c>
      <c r="R5" s="16">
        <f t="shared" si="0"/>
        <v>18614082.306038719</v>
      </c>
      <c r="S5" s="16">
        <f t="shared" si="0"/>
        <v>18427941.482978333</v>
      </c>
      <c r="T5" s="16">
        <f t="shared" si="0"/>
        <v>18243662.06814855</v>
      </c>
      <c r="U5" s="16">
        <f t="shared" si="0"/>
        <v>18061225.447467063</v>
      </c>
      <c r="V5" s="16">
        <f t="shared" si="0"/>
        <v>17880613.192992393</v>
      </c>
      <c r="W5" s="16">
        <f t="shared" si="0"/>
        <v>17701807.06106247</v>
      </c>
      <c r="X5" s="16">
        <f t="shared" si="0"/>
        <v>17524788.990451846</v>
      </c>
      <c r="Y5" s="16">
        <f t="shared" si="0"/>
        <v>17349541.100547329</v>
      </c>
      <c r="Z5" s="16">
        <f t="shared" si="0"/>
        <v>17176045.689541854</v>
      </c>
      <c r="AA5" s="16">
        <f t="shared" si="0"/>
        <v>17004285.232646435</v>
      </c>
      <c r="AB5" s="16">
        <f t="shared" si="0"/>
        <v>16834242.380319972</v>
      </c>
      <c r="AC5" s="16">
        <f t="shared" si="0"/>
        <v>16665899.956516773</v>
      </c>
      <c r="AD5" s="16">
        <f t="shared" si="0"/>
        <v>16499240.956951605</v>
      </c>
      <c r="AE5" s="16">
        <f t="shared" si="0"/>
        <v>16334248.547382088</v>
      </c>
      <c r="AF5" s="16">
        <f t="shared" si="0"/>
        <v>16170906.061908267</v>
      </c>
      <c r="AG5" s="16">
        <f t="shared" si="0"/>
        <v>16009197.001289185</v>
      </c>
      <c r="AH5" s="16">
        <f t="shared" si="0"/>
        <v>15849105.031276293</v>
      </c>
      <c r="AI5" s="16">
        <f t="shared" si="0"/>
        <v>15690613.98096353</v>
      </c>
      <c r="AJ5" s="16">
        <f t="shared" si="0"/>
        <v>15533707.841153895</v>
      </c>
    </row>
    <row r="6" spans="1:36" s="16" customFormat="1" x14ac:dyDescent="0.45">
      <c r="C6" s="27"/>
      <c r="E6" s="16" t="s">
        <v>104</v>
      </c>
      <c r="G6" s="16">
        <f>G5-G4-利回り!$C$9-G5*0.05</f>
        <v>-1106642.8571428582</v>
      </c>
      <c r="H6" s="16">
        <f>H5-H4-利回り!$C$9-H5*0.05</f>
        <v>-161290.71428571269</v>
      </c>
      <c r="I6" s="16">
        <f>I5-I4-利回り!$C$9-I5*0.05</f>
        <v>786036.47857143276</v>
      </c>
      <c r="J6" s="16">
        <f>J5-J4-利回り!$C$9-J5*0.05</f>
        <v>1735318.9709285754</v>
      </c>
      <c r="K6" s="16">
        <f>K5-K4-利回り!$C$9-K5*0.05</f>
        <v>2686537.2097907206</v>
      </c>
      <c r="L6" s="16">
        <f>L5-L4-利回り!$C$9-L5*0.05</f>
        <v>3639671.8376928126</v>
      </c>
      <c r="M6" s="16">
        <f>M5-M4-利回り!$C$9-M5*0.05</f>
        <v>4594703.6907444559</v>
      </c>
      <c r="N6" s="16">
        <f>N5-N4-利回り!$C$9-N5*0.05</f>
        <v>5551613.7966941558</v>
      </c>
      <c r="O6" s="16">
        <f>O5-O4-利回り!$C$9-O5*0.05</f>
        <v>6510383.3730129302</v>
      </c>
      <c r="P6" s="16">
        <f>P5-P4-利回り!$C$9-P5*0.05</f>
        <v>6516448.370451631</v>
      </c>
      <c r="Q6" s="16">
        <f>Q5-Q4-利回り!$C$9-Q5*0.05</f>
        <v>7524335.8347990634</v>
      </c>
      <c r="R6" s="16">
        <f>R5-R4-利回り!$C$9-R5*0.05</f>
        <v>8534027.5413861386</v>
      </c>
      <c r="S6" s="16">
        <f>S5-S4-利回り!$C$9-S5*0.05</f>
        <v>9545505.4477904625</v>
      </c>
      <c r="T6" s="16">
        <f>T5-T4-利回り!$C$9-T5*0.05</f>
        <v>10558751.692013854</v>
      </c>
      <c r="U6" s="16">
        <f>U5-U4-利回り!$C$9-U5*0.05</f>
        <v>10430891.447820988</v>
      </c>
      <c r="V6" s="16">
        <f>V5-V4-利回り!$C$9-V5*0.05</f>
        <v>10304764.351524597</v>
      </c>
      <c r="W6" s="16">
        <f>W5-W4-利回り!$C$9-W5*0.05</f>
        <v>10180353.071645716</v>
      </c>
      <c r="X6" s="16">
        <f>X5-X4-利回り!$C$9-X5*0.05</f>
        <v>10057640.450020168</v>
      </c>
      <c r="Y6" s="16">
        <f>Y5-Y4-利回り!$C$9-Y5*0.05</f>
        <v>9936609.5000654235</v>
      </c>
      <c r="Z6" s="16">
        <f>Z5-Z4-利回り!$C$9-Z5*0.05</f>
        <v>8862697.9505193122</v>
      </c>
      <c r="AA6" s="16">
        <f>AA5-AA4-利回り!$C$9-AA5*0.05</f>
        <v>8790434.6073777545</v>
      </c>
      <c r="AB6" s="16">
        <f>AB5-AB4-利回り!$C$9-AB5*0.05</f>
        <v>8719802.9885767046</v>
      </c>
      <c r="AC6" s="16">
        <f>AC5-AC4-利回り!$C$9-AC5*0.05</f>
        <v>8650786.7768727578</v>
      </c>
      <c r="AD6" s="16">
        <f>AD5-AD4-利回り!$C$9-AD5*0.05</f>
        <v>8583369.8181949388</v>
      </c>
      <c r="AE6" s="16">
        <f>AE5-AE4-利回り!$C$9-AE5*0.05</f>
        <v>8517536.1200129893</v>
      </c>
      <c r="AF6" s="16">
        <f>AF5-AF4-利回り!$C$9-AF5*0.05</f>
        <v>8453269.8497219495</v>
      </c>
      <c r="AG6" s="16">
        <f>AG5-AG4-利回り!$C$9-AG5*0.05</f>
        <v>8390555.3330429122</v>
      </c>
      <c r="AH6" s="16">
        <f>AH5-AH4-利回り!$C$9-AH5*0.05</f>
        <v>8329377.0524397558</v>
      </c>
      <c r="AI6" s="16">
        <f>AI5-AI4-利回り!$C$9-AI5*0.05</f>
        <v>8269719.6455517225</v>
      </c>
      <c r="AJ6" s="16">
        <f>AJ5-AJ4-利回り!$C$9-AJ5*0.05</f>
        <v>7257022.4490962066</v>
      </c>
    </row>
    <row r="7" spans="1:36" s="29" customFormat="1" x14ac:dyDescent="0.45">
      <c r="C7" s="48"/>
      <c r="E7" s="29" t="str">
        <f>ローン計算!A12</f>
        <v>ローン残債</v>
      </c>
      <c r="F7" s="29">
        <f>利回り!F2</f>
        <v>18000000</v>
      </c>
      <c r="G7" s="29">
        <f>ローン計算!B12</f>
        <v>17400170.488713257</v>
      </c>
      <c r="H7" s="29">
        <f>ローン計算!C12</f>
        <v>16775903.977426512</v>
      </c>
      <c r="I7" s="29">
        <f>ローン計算!D12</f>
        <v>16126201.466139767</v>
      </c>
      <c r="J7" s="29">
        <f>ローン計算!E12</f>
        <v>15450031.954853022</v>
      </c>
      <c r="K7" s="29">
        <f>ローン計算!F12</f>
        <v>14746313.443566278</v>
      </c>
      <c r="L7" s="29">
        <f>ローン計算!G12</f>
        <v>14013924.932279533</v>
      </c>
      <c r="M7" s="29">
        <f>ローン計算!H12</f>
        <v>13251697.420992788</v>
      </c>
      <c r="N7" s="29">
        <f>ローン計算!I12</f>
        <v>12458415.909706043</v>
      </c>
      <c r="O7" s="29">
        <f>ローン計算!J12</f>
        <v>11632813.398419298</v>
      </c>
      <c r="P7" s="29">
        <f>ローン計算!K12</f>
        <v>10773575.887132553</v>
      </c>
      <c r="Q7" s="29">
        <f>ローン計算!L12</f>
        <v>9879331.3758458085</v>
      </c>
      <c r="R7" s="29">
        <f>ローン計算!M12</f>
        <v>8948654.8645590637</v>
      </c>
      <c r="S7" s="29">
        <f>ローン計算!N12</f>
        <v>7980059.3532723198</v>
      </c>
      <c r="T7" s="29">
        <f>ローン計算!O12</f>
        <v>6972003.8419855759</v>
      </c>
      <c r="U7" s="29">
        <f>ローン計算!P12</f>
        <v>5922876.3306988319</v>
      </c>
      <c r="V7" s="29">
        <f>ローン計算!Q12</f>
        <v>4831006.819412088</v>
      </c>
      <c r="W7" s="29">
        <f>ローン計算!R12</f>
        <v>3694652.3081253441</v>
      </c>
      <c r="X7" s="29">
        <f>ローン計算!S12</f>
        <v>2512000.7968386002</v>
      </c>
      <c r="Y7" s="29">
        <f>ローン計算!T12</f>
        <v>1281164.285551856</v>
      </c>
      <c r="Z7" s="29">
        <f>ローン計算!U12</f>
        <v>183.77426511212252</v>
      </c>
      <c r="AA7" s="29">
        <f>ローン計算!V12</f>
        <v>183.77426511212252</v>
      </c>
      <c r="AB7" s="29">
        <f>ローン計算!W12</f>
        <v>183.77426511212252</v>
      </c>
      <c r="AC7" s="29">
        <f>ローン計算!X12</f>
        <v>183.77426511212252</v>
      </c>
      <c r="AD7" s="29">
        <f>ローン計算!Y12</f>
        <v>183.77426511212252</v>
      </c>
      <c r="AE7" s="29">
        <f>ローン計算!Z12</f>
        <v>183.77426511212252</v>
      </c>
      <c r="AF7" s="29">
        <f>ローン計算!AA12</f>
        <v>183.77426511212252</v>
      </c>
      <c r="AG7" s="29">
        <f>ローン計算!AB12</f>
        <v>183.77426511212252</v>
      </c>
      <c r="AH7" s="29">
        <f>ローン計算!AC12</f>
        <v>183.77426511212252</v>
      </c>
      <c r="AI7" s="29">
        <f>ローン計算!AD12</f>
        <v>183.77426511212252</v>
      </c>
      <c r="AJ7" s="29">
        <f>ローン計算!AE12</f>
        <v>183.77426511212252</v>
      </c>
    </row>
    <row r="8" spans="1:36" s="16" customFormat="1" x14ac:dyDescent="0.45">
      <c r="C8" s="27"/>
      <c r="E8" s="16" t="s">
        <v>91</v>
      </c>
      <c r="G8" s="28">
        <f>IF(G6&gt;0,G5-G6*0.3936,G5)-G7</f>
        <v>3389829.511286743</v>
      </c>
      <c r="H8" s="28">
        <f>IF(H6&gt;0,H5-H6*0.3936,H5)-H7</f>
        <v>3806196.0225734878</v>
      </c>
      <c r="I8" s="28">
        <f>IF(I6&gt;0,I5-I6*0.3936,I5)-I7</f>
        <v>3940693.575894516</v>
      </c>
      <c r="J8" s="28">
        <f t="shared" ref="J8:AJ8" si="1">IF(J6&gt;0,J5-J6*0.3936,J5)-J7</f>
        <v>4039462.708189493</v>
      </c>
      <c r="K8" s="28">
        <f t="shared" si="1"/>
        <v>4167056.5585600957</v>
      </c>
      <c r="L8" s="28">
        <f t="shared" si="1"/>
        <v>4324583.3698255774</v>
      </c>
      <c r="M8" s="28">
        <f t="shared" si="1"/>
        <v>4513199.5123769864</v>
      </c>
      <c r="N8" s="28">
        <f t="shared" si="1"/>
        <v>4734107.4829014633</v>
      </c>
      <c r="O8" s="28">
        <f t="shared" si="1"/>
        <v>4988561.9031192753</v>
      </c>
      <c r="P8" s="28">
        <f t="shared" si="1"/>
        <v>5653573.6094425824</v>
      </c>
      <c r="Q8" s="28">
        <f t="shared" si="1"/>
        <v>5961193.3790103272</v>
      </c>
      <c r="R8" s="28">
        <f t="shared" si="1"/>
        <v>6306434.2011900712</v>
      </c>
      <c r="S8" s="28">
        <f t="shared" si="1"/>
        <v>6690771.1854556864</v>
      </c>
      <c r="T8" s="28">
        <f t="shared" si="1"/>
        <v>7115733.5601863209</v>
      </c>
      <c r="U8" s="28">
        <f t="shared" si="1"/>
        <v>8032750.2429058896</v>
      </c>
      <c r="V8" s="28">
        <f t="shared" si="1"/>
        <v>8993651.1248202231</v>
      </c>
      <c r="W8" s="28">
        <f t="shared" si="1"/>
        <v>10000167.783937372</v>
      </c>
      <c r="X8" s="28">
        <f t="shared" si="1"/>
        <v>11054100.912485309</v>
      </c>
      <c r="Y8" s="28">
        <f t="shared" si="1"/>
        <v>12157327.315769723</v>
      </c>
      <c r="Z8" s="28">
        <f t="shared" si="1"/>
        <v>13687504.001952341</v>
      </c>
      <c r="AA8" s="28">
        <f t="shared" si="1"/>
        <v>13544186.396917438</v>
      </c>
      <c r="AB8" s="28">
        <f t="shared" si="1"/>
        <v>13401944.149751069</v>
      </c>
      <c r="AC8" s="28">
        <f t="shared" si="1"/>
        <v>13260766.506874543</v>
      </c>
      <c r="AD8" s="28">
        <f t="shared" si="1"/>
        <v>13120642.822244965</v>
      </c>
      <c r="AE8" s="28">
        <f t="shared" si="1"/>
        <v>12981562.556279862</v>
      </c>
      <c r="AF8" s="28">
        <f t="shared" si="1"/>
        <v>12843515.274792595</v>
      </c>
      <c r="AG8" s="28">
        <f t="shared" si="1"/>
        <v>12706490.647938382</v>
      </c>
      <c r="AH8" s="28">
        <f t="shared" si="1"/>
        <v>12570478.449170893</v>
      </c>
      <c r="AI8" s="28">
        <f t="shared" si="1"/>
        <v>12435468.55420926</v>
      </c>
      <c r="AJ8" s="28">
        <f t="shared" si="1"/>
        <v>12677160.030924516</v>
      </c>
    </row>
    <row r="9" spans="1:36" s="29" customFormat="1" x14ac:dyDescent="0.45">
      <c r="C9" s="48"/>
      <c r="E9" s="29" t="s">
        <v>100</v>
      </c>
      <c r="G9" s="67">
        <f>C12</f>
        <v>400495.54285714123</v>
      </c>
      <c r="H9" s="56">
        <f>C13</f>
        <v>1802556.9857142847</v>
      </c>
      <c r="I9" s="56">
        <f>C14</f>
        <v>2897655.0706057111</v>
      </c>
      <c r="J9" s="56">
        <f>C15</f>
        <v>3931795.6704710871</v>
      </c>
      <c r="K9" s="56">
        <f>C16</f>
        <v>4969380.2140520886</v>
      </c>
      <c r="L9" s="56">
        <f>C17</f>
        <v>6011351.8049115678</v>
      </c>
      <c r="M9" s="56">
        <f>C18</f>
        <v>7058685.5625767391</v>
      </c>
      <c r="N9" s="56">
        <f>C19</f>
        <v>8112387.2383795446</v>
      </c>
      <c r="O9" s="56">
        <f>C20</f>
        <v>9173497.4311386049</v>
      </c>
      <c r="P9" s="56">
        <f>C20</f>
        <v>9173497.4311386049</v>
      </c>
      <c r="Q9" s="56">
        <f>C22</f>
        <v>10906582.734923981</v>
      </c>
      <c r="R9" s="56">
        <f>C23</f>
        <v>11992248.532822862</v>
      </c>
      <c r="S9" s="56">
        <f>C24</f>
        <v>13089841.026002491</v>
      </c>
      <c r="T9" s="56">
        <f>C25</f>
        <v>14200585.080510067</v>
      </c>
      <c r="U9" s="56">
        <f>C26</f>
        <v>15432725.229303733</v>
      </c>
      <c r="V9" s="56">
        <f>C26</f>
        <v>15432725.229303733</v>
      </c>
      <c r="W9" s="56">
        <f>C28</f>
        <v>17945578.220833048</v>
      </c>
      <c r="X9" s="56">
        <f>C29</f>
        <v>19229061.794859849</v>
      </c>
      <c r="Y9" s="56">
        <f>C30</f>
        <v>20532513.625691839</v>
      </c>
      <c r="Z9" s="56">
        <f>C31</f>
        <v>21546788.080306411</v>
      </c>
      <c r="AA9" s="56">
        <f>C32</f>
        <v>22873531.04046575</v>
      </c>
      <c r="AB9" s="56">
        <f>C33</f>
        <v>24186921.480114408</v>
      </c>
      <c r="AC9" s="56">
        <f>C34</f>
        <v>25487092.924457487</v>
      </c>
      <c r="AD9" s="56">
        <f>C35</f>
        <v>26774177.563448042</v>
      </c>
      <c r="AE9" s="56">
        <f>C36</f>
        <v>28048306.265139602</v>
      </c>
      <c r="AF9" s="56">
        <f>C37</f>
        <v>29309608.588905156</v>
      </c>
      <c r="AG9" s="56">
        <f>C38</f>
        <v>30558212.798523962</v>
      </c>
      <c r="AH9" s="56">
        <f>C39</f>
        <v>31794245.875137493</v>
      </c>
      <c r="AI9" s="56">
        <f>C40</f>
        <v>33017833.530075796</v>
      </c>
      <c r="AJ9" s="56">
        <f>C41</f>
        <v>33918445.672101073</v>
      </c>
    </row>
    <row r="10" spans="1:36" s="29" customFormat="1" x14ac:dyDescent="0.45">
      <c r="C10" s="48"/>
    </row>
    <row r="11" spans="1:36" x14ac:dyDescent="0.45">
      <c r="A11" s="23" t="s">
        <v>93</v>
      </c>
      <c r="B11" s="23" t="s">
        <v>105</v>
      </c>
      <c r="C11" s="49" t="s">
        <v>95</v>
      </c>
    </row>
    <row r="12" spans="1:36" x14ac:dyDescent="0.45">
      <c r="A12" s="30">
        <f>IRR(F12:H12)</f>
        <v>5.5535852346856318E-2</v>
      </c>
      <c r="B12" s="27">
        <f>_xlfn.RRI(D12,-F12,C12)</f>
        <v>-0.89987611428571468</v>
      </c>
      <c r="C12" s="68">
        <f>SUM(F12:H12)</f>
        <v>400495.54285714123</v>
      </c>
      <c r="D12">
        <v>1</v>
      </c>
      <c r="E12" t="s">
        <v>60</v>
      </c>
      <c r="F12" s="16">
        <f t="shared" ref="F12:G12" si="2">F3</f>
        <v>-4000000</v>
      </c>
      <c r="G12" s="16">
        <f t="shared" si="2"/>
        <v>1010666.0315703985</v>
      </c>
      <c r="H12" s="28">
        <f>G8</f>
        <v>3389829.511286743</v>
      </c>
    </row>
    <row r="13" spans="1:36" x14ac:dyDescent="0.45">
      <c r="A13" s="30">
        <f>IRR(F13:I13)</f>
        <v>0.16512074115342812</v>
      </c>
      <c r="B13" s="27">
        <f>_xlfn.RRI(D13,-F13,C13)</f>
        <v>-0.32870330968448003</v>
      </c>
      <c r="C13" s="57">
        <f>SUM(F13:I13)</f>
        <v>1802556.9857142847</v>
      </c>
      <c r="D13">
        <v>2</v>
      </c>
      <c r="E13" t="s">
        <v>61</v>
      </c>
      <c r="F13" s="16">
        <f t="shared" ref="F13:H13" si="3">F3</f>
        <v>-4000000</v>
      </c>
      <c r="G13" s="16">
        <f t="shared" si="3"/>
        <v>1010666.0315703985</v>
      </c>
      <c r="H13" s="16">
        <f t="shared" si="3"/>
        <v>985694.9315703985</v>
      </c>
      <c r="I13" s="28">
        <f>H8</f>
        <v>3806196.0225734878</v>
      </c>
    </row>
    <row r="14" spans="1:36" x14ac:dyDescent="0.45">
      <c r="A14" s="30">
        <f>IRR(F14:J14)</f>
        <v>0.19823370986390909</v>
      </c>
      <c r="B14" s="27">
        <f>_xlfn.RRI(D14,-F14,C14)</f>
        <v>-0.10189131013544461</v>
      </c>
      <c r="C14" s="57">
        <f>SUM(F14:J14)</f>
        <v>2897655.0706057111</v>
      </c>
      <c r="D14">
        <v>3</v>
      </c>
      <c r="E14" t="s">
        <v>62</v>
      </c>
      <c r="F14" s="16">
        <f t="shared" ref="F14:I14" si="4">F3</f>
        <v>-4000000</v>
      </c>
      <c r="G14" s="16">
        <f t="shared" si="4"/>
        <v>1010666.0315703985</v>
      </c>
      <c r="H14" s="16">
        <f t="shared" si="4"/>
        <v>985694.9315703985</v>
      </c>
      <c r="I14" s="16">
        <f t="shared" si="4"/>
        <v>960600.53157039848</v>
      </c>
      <c r="J14" s="28">
        <f>I8</f>
        <v>3940693.575894516</v>
      </c>
    </row>
    <row r="15" spans="1:36" x14ac:dyDescent="0.45">
      <c r="A15" s="30">
        <f>IRR(F15:K15)</f>
        <v>0.21406906533998282</v>
      </c>
      <c r="B15" s="27">
        <f>_xlfn.RRI(D15,-F15,C15)</f>
        <v>-4.2903017435850233E-3</v>
      </c>
      <c r="C15" s="57">
        <f>SUM(F15:K15)</f>
        <v>3931795.6704710871</v>
      </c>
      <c r="D15">
        <v>4</v>
      </c>
      <c r="E15" t="s">
        <v>63</v>
      </c>
      <c r="F15" s="16">
        <f t="shared" ref="F15:J15" si="5">F3</f>
        <v>-4000000</v>
      </c>
      <c r="G15" s="16">
        <f t="shared" si="5"/>
        <v>1010666.0315703985</v>
      </c>
      <c r="H15" s="16">
        <f t="shared" si="5"/>
        <v>985694.9315703985</v>
      </c>
      <c r="I15" s="16">
        <f t="shared" si="5"/>
        <v>960600.53157039848</v>
      </c>
      <c r="J15" s="16">
        <f t="shared" si="5"/>
        <v>935371.46757039847</v>
      </c>
      <c r="K15" s="28">
        <f>J8</f>
        <v>4039462.708189493</v>
      </c>
    </row>
    <row r="16" spans="1:36" x14ac:dyDescent="0.45">
      <c r="A16" s="30">
        <f>IRR(F16:L16)</f>
        <v>0.22354709275435214</v>
      </c>
      <c r="B16" s="27">
        <f t="shared" ref="B16:B41" si="6">_xlfn.RRI(D16,-F16,C16)</f>
        <v>4.4355713486175175E-2</v>
      </c>
      <c r="C16" s="57">
        <f>SUM(F16:L16)</f>
        <v>4969380.2140520886</v>
      </c>
      <c r="D16">
        <v>5</v>
      </c>
      <c r="E16" t="s">
        <v>64</v>
      </c>
      <c r="F16" s="16">
        <f t="shared" ref="F16:K16" si="7">F3</f>
        <v>-4000000</v>
      </c>
      <c r="G16" s="16">
        <f t="shared" si="7"/>
        <v>1010666.0315703985</v>
      </c>
      <c r="H16" s="16">
        <f t="shared" si="7"/>
        <v>985694.9315703985</v>
      </c>
      <c r="I16" s="16">
        <f t="shared" si="7"/>
        <v>960600.53157039848</v>
      </c>
      <c r="J16" s="16">
        <f t="shared" si="7"/>
        <v>935371.46757039847</v>
      </c>
      <c r="K16" s="16">
        <f t="shared" si="7"/>
        <v>909990.69321039855</v>
      </c>
      <c r="L16" s="28">
        <f>K8</f>
        <v>4167056.5585600957</v>
      </c>
    </row>
    <row r="17" spans="1:28" x14ac:dyDescent="0.45">
      <c r="A17" s="30">
        <f>IRR(F17:M17)</f>
        <v>0.22937298208216284</v>
      </c>
      <c r="B17" s="27">
        <f t="shared" si="6"/>
        <v>7.0250301778380209E-2</v>
      </c>
      <c r="C17" s="57">
        <f>SUM(F17:M17)</f>
        <v>6011351.8049115678</v>
      </c>
      <c r="D17">
        <v>6</v>
      </c>
      <c r="E17" t="s">
        <v>65</v>
      </c>
      <c r="F17" s="16">
        <f t="shared" ref="F17:L17" si="8">F3</f>
        <v>-4000000</v>
      </c>
      <c r="G17" s="16">
        <f t="shared" si="8"/>
        <v>1010666.0315703985</v>
      </c>
      <c r="H17" s="16">
        <f t="shared" si="8"/>
        <v>985694.9315703985</v>
      </c>
      <c r="I17" s="16">
        <f t="shared" si="8"/>
        <v>960600.53157039848</v>
      </c>
      <c r="J17" s="16">
        <f t="shared" si="8"/>
        <v>935371.46757039847</v>
      </c>
      <c r="K17" s="16">
        <f t="shared" si="8"/>
        <v>909990.69321039855</v>
      </c>
      <c r="L17" s="16">
        <f t="shared" si="8"/>
        <v>884444.7795939981</v>
      </c>
      <c r="M17" s="28">
        <f>L8</f>
        <v>4324583.3698255774</v>
      </c>
    </row>
    <row r="18" spans="1:28" x14ac:dyDescent="0.45">
      <c r="A18" s="30">
        <f>IRR(F18:N18)</f>
        <v>0.23294529979461664</v>
      </c>
      <c r="B18" s="27">
        <f t="shared" si="6"/>
        <v>8.4520316457207034E-2</v>
      </c>
      <c r="C18" s="57">
        <f>SUM(F18:N18)</f>
        <v>7058685.5625767391</v>
      </c>
      <c r="D18">
        <v>7</v>
      </c>
      <c r="E18" t="s">
        <v>66</v>
      </c>
      <c r="F18" s="16">
        <f t="shared" ref="F18:M18" si="9">F3</f>
        <v>-4000000</v>
      </c>
      <c r="G18" s="16">
        <f t="shared" si="9"/>
        <v>1010666.0315703985</v>
      </c>
      <c r="H18" s="16">
        <f t="shared" si="9"/>
        <v>985694.9315703985</v>
      </c>
      <c r="I18" s="16">
        <f t="shared" si="9"/>
        <v>960600.53157039848</v>
      </c>
      <c r="J18" s="16">
        <f t="shared" si="9"/>
        <v>935371.46757039847</v>
      </c>
      <c r="K18" s="16">
        <f t="shared" si="9"/>
        <v>909990.69321039855</v>
      </c>
      <c r="L18" s="16">
        <f t="shared" si="9"/>
        <v>884444.7795939981</v>
      </c>
      <c r="M18" s="16">
        <f t="shared" si="9"/>
        <v>858717.61511376244</v>
      </c>
      <c r="N18" s="28">
        <f>M8</f>
        <v>4513199.5123769864</v>
      </c>
    </row>
    <row r="19" spans="1:28" x14ac:dyDescent="0.45">
      <c r="A19" s="30">
        <f>IRR(F19:O19)</f>
        <v>0.23506119839950967</v>
      </c>
      <c r="B19" s="27">
        <f t="shared" si="6"/>
        <v>9.2411051885401552E-2</v>
      </c>
      <c r="C19" s="57">
        <f>SUM(F19:O19)</f>
        <v>8112387.2383795446</v>
      </c>
      <c r="D19">
        <v>8</v>
      </c>
      <c r="E19" t="s">
        <v>67</v>
      </c>
      <c r="F19" s="16">
        <f t="shared" ref="F19:N19" si="10">F3</f>
        <v>-4000000</v>
      </c>
      <c r="G19" s="16">
        <f t="shared" si="10"/>
        <v>1010666.0315703985</v>
      </c>
      <c r="H19" s="16">
        <f t="shared" si="10"/>
        <v>985694.9315703985</v>
      </c>
      <c r="I19" s="16">
        <f t="shared" si="10"/>
        <v>960600.53157039848</v>
      </c>
      <c r="J19" s="16">
        <f t="shared" si="10"/>
        <v>935371.46757039847</v>
      </c>
      <c r="K19" s="16">
        <f t="shared" si="10"/>
        <v>909990.69321039855</v>
      </c>
      <c r="L19" s="16">
        <f t="shared" si="10"/>
        <v>884444.7795939981</v>
      </c>
      <c r="M19" s="16">
        <f t="shared" si="10"/>
        <v>858717.61511376244</v>
      </c>
      <c r="N19" s="16">
        <f t="shared" si="10"/>
        <v>832793.70527832862</v>
      </c>
      <c r="O19" s="28">
        <f>N8</f>
        <v>4734107.4829014633</v>
      </c>
    </row>
    <row r="20" spans="1:28" x14ac:dyDescent="0.45">
      <c r="A20" s="30">
        <f>IRR(F20:P20)</f>
        <v>0.23620769398637753</v>
      </c>
      <c r="B20" s="27">
        <f t="shared" si="6"/>
        <v>9.6611440740746568E-2</v>
      </c>
      <c r="C20" s="57">
        <f>SUM(F20:P20)</f>
        <v>9173497.4311386049</v>
      </c>
      <c r="D20">
        <v>9</v>
      </c>
      <c r="E20" t="s">
        <v>68</v>
      </c>
      <c r="F20" s="16">
        <f t="shared" ref="F20:O20" si="11">F3</f>
        <v>-4000000</v>
      </c>
      <c r="G20" s="16">
        <f t="shared" si="11"/>
        <v>1010666.0315703985</v>
      </c>
      <c r="H20" s="16">
        <f t="shared" si="11"/>
        <v>985694.9315703985</v>
      </c>
      <c r="I20" s="16">
        <f t="shared" si="11"/>
        <v>960600.53157039848</v>
      </c>
      <c r="J20" s="16">
        <f t="shared" si="11"/>
        <v>935371.46757039847</v>
      </c>
      <c r="K20" s="16">
        <f t="shared" si="11"/>
        <v>909990.69321039855</v>
      </c>
      <c r="L20" s="16">
        <f t="shared" si="11"/>
        <v>884444.7795939981</v>
      </c>
      <c r="M20" s="16">
        <f t="shared" si="11"/>
        <v>858717.61511376244</v>
      </c>
      <c r="N20" s="16">
        <f t="shared" si="11"/>
        <v>832793.70527832862</v>
      </c>
      <c r="O20" s="16">
        <f t="shared" si="11"/>
        <v>806655.77254124917</v>
      </c>
      <c r="P20" s="28">
        <f>O8</f>
        <v>4988561.9031192753</v>
      </c>
    </row>
    <row r="21" spans="1:28" x14ac:dyDescent="0.45">
      <c r="A21" s="30">
        <f>IRR(F21:Q21)</f>
        <v>0.23276591796256363</v>
      </c>
      <c r="B21" s="27">
        <f t="shared" si="6"/>
        <v>9.4099108872945036E-2</v>
      </c>
      <c r="C21" s="57">
        <f>SUM(F21:Q21)</f>
        <v>9831655.0898339432</v>
      </c>
      <c r="D21">
        <v>10</v>
      </c>
      <c r="E21" t="s">
        <v>69</v>
      </c>
      <c r="F21" s="16">
        <f t="shared" ref="F21:P21" si="12">F3</f>
        <v>-4000000</v>
      </c>
      <c r="G21" s="16">
        <f t="shared" si="12"/>
        <v>1010666.0315703985</v>
      </c>
      <c r="H21" s="16">
        <f t="shared" si="12"/>
        <v>985694.9315703985</v>
      </c>
      <c r="I21" s="16">
        <f t="shared" si="12"/>
        <v>960600.53157039848</v>
      </c>
      <c r="J21" s="16">
        <f t="shared" si="12"/>
        <v>935371.46757039847</v>
      </c>
      <c r="K21" s="16">
        <f t="shared" si="12"/>
        <v>909990.69321039855</v>
      </c>
      <c r="L21" s="16">
        <f t="shared" si="12"/>
        <v>884444.7795939981</v>
      </c>
      <c r="M21" s="16">
        <f t="shared" si="12"/>
        <v>858717.61511376244</v>
      </c>
      <c r="N21" s="16">
        <f t="shared" si="12"/>
        <v>832793.70527832862</v>
      </c>
      <c r="O21" s="16">
        <f t="shared" si="12"/>
        <v>806655.77254124917</v>
      </c>
      <c r="P21" s="16">
        <f t="shared" si="12"/>
        <v>-6854.047627969645</v>
      </c>
      <c r="Q21" s="28">
        <f>P8</f>
        <v>5653573.6094425824</v>
      </c>
    </row>
    <row r="22" spans="1:28" x14ac:dyDescent="0.45">
      <c r="A22" s="30">
        <f>IRR(F22:R22)</f>
        <v>0.23243347661685898</v>
      </c>
      <c r="B22" s="27">
        <f t="shared" si="6"/>
        <v>9.5475350120758806E-2</v>
      </c>
      <c r="C22" s="57">
        <f>SUM(F22:R22)</f>
        <v>10906582.734923981</v>
      </c>
      <c r="D22">
        <v>11</v>
      </c>
      <c r="E22" t="s">
        <v>70</v>
      </c>
      <c r="F22" s="16">
        <f t="shared" ref="F22:Q22" si="13">F3</f>
        <v>-4000000</v>
      </c>
      <c r="G22" s="16">
        <f t="shared" si="13"/>
        <v>1010666.0315703985</v>
      </c>
      <c r="H22" s="16">
        <f t="shared" si="13"/>
        <v>985694.9315703985</v>
      </c>
      <c r="I22" s="16">
        <f t="shared" si="13"/>
        <v>960600.53157039848</v>
      </c>
      <c r="J22" s="16">
        <f t="shared" si="13"/>
        <v>935371.46757039847</v>
      </c>
      <c r="K22" s="16">
        <f t="shared" si="13"/>
        <v>909990.69321039855</v>
      </c>
      <c r="L22" s="16">
        <f t="shared" si="13"/>
        <v>884444.7795939981</v>
      </c>
      <c r="M22" s="16">
        <f t="shared" si="13"/>
        <v>858717.61511376244</v>
      </c>
      <c r="N22" s="16">
        <f t="shared" si="13"/>
        <v>832793.70527832862</v>
      </c>
      <c r="O22" s="16">
        <f t="shared" si="13"/>
        <v>806655.77254124917</v>
      </c>
      <c r="P22" s="16">
        <f t="shared" si="13"/>
        <v>-6854.047627969645</v>
      </c>
      <c r="Q22" s="16">
        <f t="shared" si="13"/>
        <v>767307.87552229292</v>
      </c>
      <c r="R22" s="28">
        <f>Q8</f>
        <v>5961193.3790103272</v>
      </c>
    </row>
    <row r="23" spans="1:28" x14ac:dyDescent="0.45">
      <c r="A23" s="30">
        <f>IRR(F23:S23)</f>
        <v>0.23189023252404906</v>
      </c>
      <c r="B23" s="27">
        <f t="shared" si="6"/>
        <v>9.5813683238182401E-2</v>
      </c>
      <c r="C23" s="57">
        <f>SUM(F23:S23)</f>
        <v>11992248.532822862</v>
      </c>
      <c r="D23">
        <v>12</v>
      </c>
      <c r="E23" t="s">
        <v>71</v>
      </c>
      <c r="F23" s="16">
        <f t="shared" ref="F23:R23" si="14">F3</f>
        <v>-4000000</v>
      </c>
      <c r="G23" s="16">
        <f t="shared" si="14"/>
        <v>1010666.0315703985</v>
      </c>
      <c r="H23" s="16">
        <f t="shared" si="14"/>
        <v>985694.9315703985</v>
      </c>
      <c r="I23" s="16">
        <f t="shared" si="14"/>
        <v>960600.53157039848</v>
      </c>
      <c r="J23" s="16">
        <f t="shared" si="14"/>
        <v>935371.46757039847</v>
      </c>
      <c r="K23" s="16">
        <f t="shared" si="14"/>
        <v>909990.69321039855</v>
      </c>
      <c r="L23" s="16">
        <f t="shared" si="14"/>
        <v>884444.7795939981</v>
      </c>
      <c r="M23" s="16">
        <f t="shared" si="14"/>
        <v>858717.61511376244</v>
      </c>
      <c r="N23" s="16">
        <f t="shared" si="14"/>
        <v>832793.70527832862</v>
      </c>
      <c r="O23" s="16">
        <f t="shared" si="14"/>
        <v>806655.77254124917</v>
      </c>
      <c r="P23" s="16">
        <f t="shared" si="14"/>
        <v>-6854.047627969645</v>
      </c>
      <c r="Q23" s="16">
        <f t="shared" si="14"/>
        <v>767307.87552229292</v>
      </c>
      <c r="R23" s="16">
        <f t="shared" si="14"/>
        <v>740424.97571913758</v>
      </c>
      <c r="S23" s="28">
        <f>R8</f>
        <v>6306434.2011900712</v>
      </c>
    </row>
    <row r="24" spans="1:28" x14ac:dyDescent="0.45">
      <c r="A24" s="30">
        <f>IRR(F24:T24)</f>
        <v>0.2312092168608646</v>
      </c>
      <c r="B24" s="27">
        <f t="shared" si="6"/>
        <v>9.5483199654062378E-2</v>
      </c>
      <c r="C24" s="57">
        <f>SUM(F24:T24)</f>
        <v>13089841.026002491</v>
      </c>
      <c r="D24">
        <v>13</v>
      </c>
      <c r="E24" t="s">
        <v>72</v>
      </c>
      <c r="F24" s="16">
        <f t="shared" ref="F24:S24" si="15">F3</f>
        <v>-4000000</v>
      </c>
      <c r="G24" s="16">
        <f t="shared" si="15"/>
        <v>1010666.0315703985</v>
      </c>
      <c r="H24" s="16">
        <f t="shared" si="15"/>
        <v>985694.9315703985</v>
      </c>
      <c r="I24" s="16">
        <f t="shared" si="15"/>
        <v>960600.53157039848</v>
      </c>
      <c r="J24" s="16">
        <f t="shared" si="15"/>
        <v>935371.46757039847</v>
      </c>
      <c r="K24" s="16">
        <f t="shared" si="15"/>
        <v>909990.69321039855</v>
      </c>
      <c r="L24" s="16">
        <f t="shared" si="15"/>
        <v>884444.7795939981</v>
      </c>
      <c r="M24" s="16">
        <f t="shared" si="15"/>
        <v>858717.61511376244</v>
      </c>
      <c r="N24" s="16">
        <f t="shared" si="15"/>
        <v>832793.70527832862</v>
      </c>
      <c r="O24" s="16">
        <f t="shared" si="15"/>
        <v>806655.77254124917</v>
      </c>
      <c r="P24" s="16">
        <f t="shared" si="15"/>
        <v>-6854.047627969645</v>
      </c>
      <c r="Q24" s="16">
        <f t="shared" si="15"/>
        <v>767307.87552229292</v>
      </c>
      <c r="R24" s="16">
        <f t="shared" si="15"/>
        <v>740424.97571913758</v>
      </c>
      <c r="S24" s="16">
        <f t="shared" si="15"/>
        <v>713255.50891401363</v>
      </c>
      <c r="T24" s="28">
        <f>S8</f>
        <v>6690771.1854556864</v>
      </c>
    </row>
    <row r="25" spans="1:28" x14ac:dyDescent="0.45">
      <c r="A25" s="30">
        <f>IRR(F25:U25)</f>
        <v>0.23044288385562162</v>
      </c>
      <c r="B25" s="27">
        <f t="shared" si="6"/>
        <v>9.4720632294181817E-2</v>
      </c>
      <c r="C25" s="57">
        <f>SUM(F25:U25)</f>
        <v>14200585.080510067</v>
      </c>
      <c r="D25">
        <v>14</v>
      </c>
      <c r="E25" t="s">
        <v>73</v>
      </c>
      <c r="F25" s="16">
        <f t="shared" ref="F25:T25" si="16">F3</f>
        <v>-4000000</v>
      </c>
      <c r="G25" s="16">
        <f t="shared" si="16"/>
        <v>1010666.0315703985</v>
      </c>
      <c r="H25" s="16">
        <f t="shared" si="16"/>
        <v>985694.9315703985</v>
      </c>
      <c r="I25" s="16">
        <f t="shared" si="16"/>
        <v>960600.53157039848</v>
      </c>
      <c r="J25" s="16">
        <f t="shared" si="16"/>
        <v>935371.46757039847</v>
      </c>
      <c r="K25" s="16">
        <f t="shared" si="16"/>
        <v>909990.69321039855</v>
      </c>
      <c r="L25" s="16">
        <f t="shared" si="16"/>
        <v>884444.7795939981</v>
      </c>
      <c r="M25" s="16">
        <f t="shared" si="16"/>
        <v>858717.61511376244</v>
      </c>
      <c r="N25" s="16">
        <f t="shared" si="16"/>
        <v>832793.70527832862</v>
      </c>
      <c r="O25" s="16">
        <f t="shared" si="16"/>
        <v>806655.77254124917</v>
      </c>
      <c r="P25" s="16">
        <f t="shared" si="16"/>
        <v>-6854.047627969645</v>
      </c>
      <c r="Q25" s="16">
        <f t="shared" si="16"/>
        <v>767307.87552229292</v>
      </c>
      <c r="R25" s="16">
        <f t="shared" si="16"/>
        <v>740424.97571913758</v>
      </c>
      <c r="S25" s="16">
        <f t="shared" si="16"/>
        <v>713255.50891401363</v>
      </c>
      <c r="T25" s="16">
        <f t="shared" si="16"/>
        <v>685781.67977694119</v>
      </c>
      <c r="U25" s="28">
        <f>T8</f>
        <v>7115733.5601863209</v>
      </c>
    </row>
    <row r="26" spans="1:28" x14ac:dyDescent="0.45">
      <c r="A26" s="30">
        <f>IRR(F26:V26)</f>
        <v>0.2296929994010255</v>
      </c>
      <c r="B26" s="27">
        <f t="shared" si="6"/>
        <v>9.4188574337550568E-2</v>
      </c>
      <c r="C26" s="57">
        <f>SUM(F26:V26)</f>
        <v>15432725.229303733</v>
      </c>
      <c r="D26">
        <v>15</v>
      </c>
      <c r="E26" t="s">
        <v>74</v>
      </c>
      <c r="F26" s="16">
        <f t="shared" ref="F26:U26" si="17">F3</f>
        <v>-4000000</v>
      </c>
      <c r="G26" s="16">
        <f t="shared" si="17"/>
        <v>1010666.0315703985</v>
      </c>
      <c r="H26" s="16">
        <f t="shared" si="17"/>
        <v>985694.9315703985</v>
      </c>
      <c r="I26" s="16">
        <f t="shared" si="17"/>
        <v>960600.53157039848</v>
      </c>
      <c r="J26" s="16">
        <f t="shared" si="17"/>
        <v>935371.46757039847</v>
      </c>
      <c r="K26" s="16">
        <f t="shared" si="17"/>
        <v>909990.69321039855</v>
      </c>
      <c r="L26" s="16">
        <f t="shared" si="17"/>
        <v>884444.7795939981</v>
      </c>
      <c r="M26" s="16">
        <f t="shared" si="17"/>
        <v>858717.61511376244</v>
      </c>
      <c r="N26" s="16">
        <f t="shared" si="17"/>
        <v>832793.70527832862</v>
      </c>
      <c r="O26" s="16">
        <f t="shared" si="17"/>
        <v>806655.77254124917</v>
      </c>
      <c r="P26" s="16">
        <f t="shared" si="17"/>
        <v>-6854.047627969645</v>
      </c>
      <c r="Q26" s="16">
        <f t="shared" si="17"/>
        <v>767307.87552229292</v>
      </c>
      <c r="R26" s="16">
        <f t="shared" si="17"/>
        <v>740424.97571913758</v>
      </c>
      <c r="S26" s="16">
        <f t="shared" si="17"/>
        <v>713255.50891401363</v>
      </c>
      <c r="T26" s="16">
        <f t="shared" si="17"/>
        <v>685781.67977694119</v>
      </c>
      <c r="U26" s="16">
        <f t="shared" si="17"/>
        <v>315123.46607409685</v>
      </c>
      <c r="V26" s="28">
        <f>U8</f>
        <v>8032750.2429058896</v>
      </c>
    </row>
    <row r="27" spans="1:28" x14ac:dyDescent="0.45">
      <c r="A27" s="30">
        <f>IRR(F27:W27)</f>
        <v>0.22872389211256694</v>
      </c>
      <c r="B27" s="27">
        <f t="shared" si="6"/>
        <v>9.3350690458507524E-2</v>
      </c>
      <c r="C27" s="57">
        <f>SUM(F27:W27)</f>
        <v>16680602.301154919</v>
      </c>
      <c r="D27">
        <v>16</v>
      </c>
      <c r="E27" t="s">
        <v>75</v>
      </c>
      <c r="F27" s="16">
        <f t="shared" ref="F27:V27" si="18">F3</f>
        <v>-4000000</v>
      </c>
      <c r="G27" s="16">
        <f t="shared" si="18"/>
        <v>1010666.0315703985</v>
      </c>
      <c r="H27" s="16">
        <f t="shared" si="18"/>
        <v>985694.9315703985</v>
      </c>
      <c r="I27" s="16">
        <f t="shared" si="18"/>
        <v>960600.53157039848</v>
      </c>
      <c r="J27" s="16">
        <f t="shared" si="18"/>
        <v>935371.46757039847</v>
      </c>
      <c r="K27" s="16">
        <f t="shared" si="18"/>
        <v>909990.69321039855</v>
      </c>
      <c r="L27" s="16">
        <f t="shared" si="18"/>
        <v>884444.7795939981</v>
      </c>
      <c r="M27" s="16">
        <f t="shared" si="18"/>
        <v>858717.61511376244</v>
      </c>
      <c r="N27" s="16">
        <f t="shared" si="18"/>
        <v>832793.70527832862</v>
      </c>
      <c r="O27" s="16">
        <f t="shared" si="18"/>
        <v>806655.77254124917</v>
      </c>
      <c r="P27" s="16">
        <f t="shared" si="18"/>
        <v>-6854.047627969645</v>
      </c>
      <c r="Q27" s="16">
        <f t="shared" si="18"/>
        <v>767307.87552229292</v>
      </c>
      <c r="R27" s="16">
        <f t="shared" si="18"/>
        <v>740424.97571913758</v>
      </c>
      <c r="S27" s="16">
        <f t="shared" si="18"/>
        <v>713255.50891401363</v>
      </c>
      <c r="T27" s="16">
        <f t="shared" si="18"/>
        <v>685781.67977694119</v>
      </c>
      <c r="U27" s="16">
        <f t="shared" si="18"/>
        <v>315123.46607409685</v>
      </c>
      <c r="V27" s="16">
        <f t="shared" si="18"/>
        <v>286976.18993685173</v>
      </c>
      <c r="W27" s="28">
        <f>V8</f>
        <v>8993651.1248202231</v>
      </c>
    </row>
    <row r="28" spans="1:28" x14ac:dyDescent="0.45">
      <c r="A28" s="30">
        <f>IRR(F28:X28)</f>
        <v>0.22762710834635769</v>
      </c>
      <c r="B28" s="27">
        <f t="shared" si="6"/>
        <v>9.2312515391342442E-2</v>
      </c>
      <c r="C28" s="57">
        <f>SUM(F28:X28)</f>
        <v>17945578.220833048</v>
      </c>
      <c r="D28">
        <v>17</v>
      </c>
      <c r="E28" t="s">
        <v>76</v>
      </c>
      <c r="F28" s="16">
        <f t="shared" ref="F28:W28" si="19">F3</f>
        <v>-4000000</v>
      </c>
      <c r="G28" s="16">
        <f t="shared" si="19"/>
        <v>1010666.0315703985</v>
      </c>
      <c r="H28" s="16">
        <f t="shared" si="19"/>
        <v>985694.9315703985</v>
      </c>
      <c r="I28" s="16">
        <f t="shared" si="19"/>
        <v>960600.53157039848</v>
      </c>
      <c r="J28" s="16">
        <f t="shared" si="19"/>
        <v>935371.46757039847</v>
      </c>
      <c r="K28" s="16">
        <f t="shared" si="19"/>
        <v>909990.69321039855</v>
      </c>
      <c r="L28" s="16">
        <f t="shared" si="19"/>
        <v>884444.7795939981</v>
      </c>
      <c r="M28" s="16">
        <f t="shared" si="19"/>
        <v>858717.61511376244</v>
      </c>
      <c r="N28" s="16">
        <f t="shared" si="19"/>
        <v>832793.70527832862</v>
      </c>
      <c r="O28" s="16">
        <f t="shared" si="19"/>
        <v>806655.77254124917</v>
      </c>
      <c r="P28" s="16">
        <f t="shared" si="19"/>
        <v>-6854.047627969645</v>
      </c>
      <c r="Q28" s="16">
        <f t="shared" si="19"/>
        <v>767307.87552229292</v>
      </c>
      <c r="R28" s="16">
        <f t="shared" si="19"/>
        <v>740424.97571913758</v>
      </c>
      <c r="S28" s="16">
        <f t="shared" si="19"/>
        <v>713255.50891401363</v>
      </c>
      <c r="T28" s="16">
        <f t="shared" si="19"/>
        <v>685781.67977694119</v>
      </c>
      <c r="U28" s="16">
        <f t="shared" si="19"/>
        <v>315123.46607409685</v>
      </c>
      <c r="V28" s="16">
        <f t="shared" si="19"/>
        <v>286976.18993685173</v>
      </c>
      <c r="W28" s="16">
        <f t="shared" si="19"/>
        <v>258459.2605609796</v>
      </c>
      <c r="X28" s="28">
        <f>W8</f>
        <v>10000167.783937372</v>
      </c>
    </row>
    <row r="29" spans="1:28" x14ac:dyDescent="0.45">
      <c r="A29" s="30">
        <f>IRR(F29:Y29)</f>
        <v>0.22646621294992797</v>
      </c>
      <c r="B29" s="27">
        <f t="shared" si="6"/>
        <v>9.1146912152926474E-2</v>
      </c>
      <c r="C29" s="57">
        <f>SUM(F29:Y29)</f>
        <v>19229061.794859849</v>
      </c>
      <c r="D29">
        <v>18</v>
      </c>
      <c r="E29" t="s">
        <v>77</v>
      </c>
      <c r="F29" s="16">
        <f t="shared" ref="F29:X29" si="20">F3</f>
        <v>-4000000</v>
      </c>
      <c r="G29" s="16">
        <f t="shared" si="20"/>
        <v>1010666.0315703985</v>
      </c>
      <c r="H29" s="16">
        <f t="shared" si="20"/>
        <v>985694.9315703985</v>
      </c>
      <c r="I29" s="16">
        <f t="shared" si="20"/>
        <v>960600.53157039848</v>
      </c>
      <c r="J29" s="16">
        <f t="shared" si="20"/>
        <v>935371.46757039847</v>
      </c>
      <c r="K29" s="16">
        <f t="shared" si="20"/>
        <v>909990.69321039855</v>
      </c>
      <c r="L29" s="16">
        <f t="shared" si="20"/>
        <v>884444.7795939981</v>
      </c>
      <c r="M29" s="16">
        <f t="shared" si="20"/>
        <v>858717.61511376244</v>
      </c>
      <c r="N29" s="16">
        <f t="shared" si="20"/>
        <v>832793.70527832862</v>
      </c>
      <c r="O29" s="16">
        <f t="shared" si="20"/>
        <v>806655.77254124917</v>
      </c>
      <c r="P29" s="16">
        <f t="shared" si="20"/>
        <v>-6854.047627969645</v>
      </c>
      <c r="Q29" s="16">
        <f t="shared" si="20"/>
        <v>767307.87552229292</v>
      </c>
      <c r="R29" s="16">
        <f t="shared" si="20"/>
        <v>740424.97571913758</v>
      </c>
      <c r="S29" s="16">
        <f t="shared" si="20"/>
        <v>713255.50891401363</v>
      </c>
      <c r="T29" s="16">
        <f t="shared" si="20"/>
        <v>685781.67977694119</v>
      </c>
      <c r="U29" s="16">
        <f t="shared" si="20"/>
        <v>315123.46607409685</v>
      </c>
      <c r="V29" s="16">
        <f t="shared" si="20"/>
        <v>286976.18993685173</v>
      </c>
      <c r="W29" s="16">
        <f t="shared" si="20"/>
        <v>258459.2605609796</v>
      </c>
      <c r="X29" s="16">
        <f t="shared" si="20"/>
        <v>229550.44547886599</v>
      </c>
      <c r="Y29" s="28">
        <f>X8</f>
        <v>11054100.912485309</v>
      </c>
    </row>
    <row r="30" spans="1:28" x14ac:dyDescent="0.45">
      <c r="A30" s="30">
        <f>IRR(F30:Z30)</f>
        <v>0.22528542246380878</v>
      </c>
      <c r="B30" s="27">
        <f t="shared" si="6"/>
        <v>8.9904719264509492E-2</v>
      </c>
      <c r="C30" s="57">
        <f>SUM(F30:Z30)</f>
        <v>20532513.625691839</v>
      </c>
      <c r="D30">
        <v>19</v>
      </c>
      <c r="E30" t="s">
        <v>78</v>
      </c>
      <c r="F30" s="16">
        <f t="shared" ref="F30:Y30" si="21">F3</f>
        <v>-4000000</v>
      </c>
      <c r="G30" s="16">
        <f t="shared" si="21"/>
        <v>1010666.0315703985</v>
      </c>
      <c r="H30" s="16">
        <f t="shared" si="21"/>
        <v>985694.9315703985</v>
      </c>
      <c r="I30" s="16">
        <f t="shared" si="21"/>
        <v>960600.53157039848</v>
      </c>
      <c r="J30" s="16">
        <f t="shared" si="21"/>
        <v>935371.46757039847</v>
      </c>
      <c r="K30" s="16">
        <f t="shared" si="21"/>
        <v>909990.69321039855</v>
      </c>
      <c r="L30" s="16">
        <f t="shared" si="21"/>
        <v>884444.7795939981</v>
      </c>
      <c r="M30" s="16">
        <f t="shared" si="21"/>
        <v>858717.61511376244</v>
      </c>
      <c r="N30" s="16">
        <f t="shared" si="21"/>
        <v>832793.70527832862</v>
      </c>
      <c r="O30" s="16">
        <f t="shared" si="21"/>
        <v>806655.77254124917</v>
      </c>
      <c r="P30" s="16">
        <f t="shared" si="21"/>
        <v>-6854.047627969645</v>
      </c>
      <c r="Q30" s="16">
        <f t="shared" si="21"/>
        <v>767307.87552229292</v>
      </c>
      <c r="R30" s="16">
        <f t="shared" si="21"/>
        <v>740424.97571913758</v>
      </c>
      <c r="S30" s="16">
        <f t="shared" si="21"/>
        <v>713255.50891401363</v>
      </c>
      <c r="T30" s="16">
        <f t="shared" si="21"/>
        <v>685781.67977694119</v>
      </c>
      <c r="U30" s="16">
        <f t="shared" si="21"/>
        <v>315123.46607409685</v>
      </c>
      <c r="V30" s="16">
        <f t="shared" si="21"/>
        <v>286976.18993685173</v>
      </c>
      <c r="W30" s="16">
        <f t="shared" si="21"/>
        <v>258459.2605609796</v>
      </c>
      <c r="X30" s="16">
        <f t="shared" si="21"/>
        <v>229550.44547886599</v>
      </c>
      <c r="Y30" s="16">
        <f t="shared" si="21"/>
        <v>200225.42754757358</v>
      </c>
      <c r="Z30" s="28">
        <f>Y8</f>
        <v>12157327.315769723</v>
      </c>
    </row>
    <row r="31" spans="1:28" x14ac:dyDescent="0.45">
      <c r="A31" s="30">
        <f>IRR(F31:AA31)</f>
        <v>0.22371252170203459</v>
      </c>
      <c r="B31" s="27">
        <f t="shared" si="6"/>
        <v>8.7842764390098749E-2</v>
      </c>
      <c r="C31" s="57">
        <f>SUM(F31:AA31)</f>
        <v>21546788.080306411</v>
      </c>
      <c r="D31">
        <v>20</v>
      </c>
      <c r="E31" t="s">
        <v>79</v>
      </c>
      <c r="F31" s="16">
        <f t="shared" ref="F31:Z31" si="22">F3</f>
        <v>-4000000</v>
      </c>
      <c r="G31" s="16">
        <f t="shared" si="22"/>
        <v>1010666.0315703985</v>
      </c>
      <c r="H31" s="16">
        <f t="shared" si="22"/>
        <v>985694.9315703985</v>
      </c>
      <c r="I31" s="16">
        <f t="shared" si="22"/>
        <v>960600.53157039848</v>
      </c>
      <c r="J31" s="16">
        <f t="shared" si="22"/>
        <v>935371.46757039847</v>
      </c>
      <c r="K31" s="16">
        <f t="shared" si="22"/>
        <v>909990.69321039855</v>
      </c>
      <c r="L31" s="16">
        <f t="shared" si="22"/>
        <v>884444.7795939981</v>
      </c>
      <c r="M31" s="16">
        <f t="shared" si="22"/>
        <v>858717.61511376244</v>
      </c>
      <c r="N31" s="16">
        <f t="shared" si="22"/>
        <v>832793.70527832862</v>
      </c>
      <c r="O31" s="16">
        <f t="shared" si="22"/>
        <v>806655.77254124917</v>
      </c>
      <c r="P31" s="16">
        <f t="shared" si="22"/>
        <v>-6854.047627969645</v>
      </c>
      <c r="Q31" s="16">
        <f t="shared" si="22"/>
        <v>767307.87552229292</v>
      </c>
      <c r="R31" s="16">
        <f t="shared" si="22"/>
        <v>740424.97571913758</v>
      </c>
      <c r="S31" s="16">
        <f t="shared" si="22"/>
        <v>713255.50891401363</v>
      </c>
      <c r="T31" s="16">
        <f t="shared" si="22"/>
        <v>685781.67977694119</v>
      </c>
      <c r="U31" s="16">
        <f t="shared" si="22"/>
        <v>315123.46607409685</v>
      </c>
      <c r="V31" s="16">
        <f t="shared" si="22"/>
        <v>286976.18993685173</v>
      </c>
      <c r="W31" s="16">
        <f t="shared" si="22"/>
        <v>258459.2605609796</v>
      </c>
      <c r="X31" s="16">
        <f t="shared" si="22"/>
        <v>229550.44547886599</v>
      </c>
      <c r="Y31" s="16">
        <f t="shared" si="22"/>
        <v>200225.42754757358</v>
      </c>
      <c r="Z31" s="16">
        <f t="shared" si="22"/>
        <v>-515902.23156804213</v>
      </c>
      <c r="AA31" s="28">
        <f>Z8</f>
        <v>13687504.001952341</v>
      </c>
    </row>
    <row r="32" spans="1:28" x14ac:dyDescent="0.45">
      <c r="A32" s="30">
        <f>IRR(F32:AB32)</f>
        <v>0.22270555158817396</v>
      </c>
      <c r="B32" s="27">
        <f t="shared" si="6"/>
        <v>8.6577304439817482E-2</v>
      </c>
      <c r="C32" s="57">
        <f>SUM(F32:AB32)</f>
        <v>22873531.04046575</v>
      </c>
      <c r="D32">
        <v>21</v>
      </c>
      <c r="E32" t="s">
        <v>80</v>
      </c>
      <c r="F32" s="16">
        <f t="shared" ref="F32:AA32" si="23">F3</f>
        <v>-4000000</v>
      </c>
      <c r="G32" s="16">
        <f t="shared" si="23"/>
        <v>1010666.0315703985</v>
      </c>
      <c r="H32" s="16">
        <f t="shared" si="23"/>
        <v>985694.9315703985</v>
      </c>
      <c r="I32" s="16">
        <f t="shared" si="23"/>
        <v>960600.53157039848</v>
      </c>
      <c r="J32" s="16">
        <f t="shared" si="23"/>
        <v>935371.46757039847</v>
      </c>
      <c r="K32" s="16">
        <f t="shared" si="23"/>
        <v>909990.69321039855</v>
      </c>
      <c r="L32" s="16">
        <f t="shared" si="23"/>
        <v>884444.7795939981</v>
      </c>
      <c r="M32" s="16">
        <f t="shared" si="23"/>
        <v>858717.61511376244</v>
      </c>
      <c r="N32" s="16">
        <f t="shared" si="23"/>
        <v>832793.70527832862</v>
      </c>
      <c r="O32" s="16">
        <f t="shared" si="23"/>
        <v>806655.77254124917</v>
      </c>
      <c r="P32" s="16">
        <f t="shared" si="23"/>
        <v>-6854.047627969645</v>
      </c>
      <c r="Q32" s="16">
        <f t="shared" si="23"/>
        <v>767307.87552229292</v>
      </c>
      <c r="R32" s="16">
        <f t="shared" si="23"/>
        <v>740424.97571913758</v>
      </c>
      <c r="S32" s="16">
        <f t="shared" si="23"/>
        <v>713255.50891401363</v>
      </c>
      <c r="T32" s="16">
        <f t="shared" si="23"/>
        <v>685781.67977694119</v>
      </c>
      <c r="U32" s="16">
        <f t="shared" si="23"/>
        <v>315123.46607409685</v>
      </c>
      <c r="V32" s="16">
        <f t="shared" si="23"/>
        <v>286976.18993685173</v>
      </c>
      <c r="W32" s="16">
        <f t="shared" si="23"/>
        <v>258459.2605609796</v>
      </c>
      <c r="X32" s="16">
        <f t="shared" si="23"/>
        <v>229550.44547886599</v>
      </c>
      <c r="Y32" s="16">
        <f t="shared" si="23"/>
        <v>200225.42754757358</v>
      </c>
      <c r="Z32" s="16">
        <f t="shared" si="23"/>
        <v>-515902.23156804213</v>
      </c>
      <c r="AA32" s="16">
        <f t="shared" si="23"/>
        <v>1470060.5651942422</v>
      </c>
      <c r="AB32" s="28">
        <f>AA8</f>
        <v>13544186.396917438</v>
      </c>
    </row>
    <row r="33" spans="1:37" x14ac:dyDescent="0.45">
      <c r="A33" s="30">
        <f>IRR(F33:AC33)</f>
        <v>0.22188329141425367</v>
      </c>
      <c r="B33" s="27">
        <f t="shared" si="6"/>
        <v>8.5234680171712318E-2</v>
      </c>
      <c r="C33" s="57">
        <f>SUM(F33:AC33)</f>
        <v>24186921.480114408</v>
      </c>
      <c r="D33">
        <v>22</v>
      </c>
      <c r="E33" t="s">
        <v>81</v>
      </c>
      <c r="F33" s="16">
        <f t="shared" ref="F33:AB33" si="24">F3</f>
        <v>-4000000</v>
      </c>
      <c r="G33" s="16">
        <f t="shared" si="24"/>
        <v>1010666.0315703985</v>
      </c>
      <c r="H33" s="16">
        <f t="shared" si="24"/>
        <v>985694.9315703985</v>
      </c>
      <c r="I33" s="16">
        <f t="shared" si="24"/>
        <v>960600.53157039848</v>
      </c>
      <c r="J33" s="16">
        <f t="shared" si="24"/>
        <v>935371.46757039847</v>
      </c>
      <c r="K33" s="16">
        <f t="shared" si="24"/>
        <v>909990.69321039855</v>
      </c>
      <c r="L33" s="16">
        <f t="shared" si="24"/>
        <v>884444.7795939981</v>
      </c>
      <c r="M33" s="16">
        <f t="shared" si="24"/>
        <v>858717.61511376244</v>
      </c>
      <c r="N33" s="16">
        <f t="shared" si="24"/>
        <v>832793.70527832862</v>
      </c>
      <c r="O33" s="16">
        <f t="shared" si="24"/>
        <v>806655.77254124917</v>
      </c>
      <c r="P33" s="16">
        <f t="shared" si="24"/>
        <v>-6854.047627969645</v>
      </c>
      <c r="Q33" s="16">
        <f t="shared" si="24"/>
        <v>767307.87552229292</v>
      </c>
      <c r="R33" s="16">
        <f t="shared" si="24"/>
        <v>740424.97571913758</v>
      </c>
      <c r="S33" s="16">
        <f t="shared" si="24"/>
        <v>713255.50891401363</v>
      </c>
      <c r="T33" s="16">
        <f t="shared" si="24"/>
        <v>685781.67977694119</v>
      </c>
      <c r="U33" s="16">
        <f t="shared" si="24"/>
        <v>315123.46607409685</v>
      </c>
      <c r="V33" s="16">
        <f t="shared" si="24"/>
        <v>286976.18993685173</v>
      </c>
      <c r="W33" s="16">
        <f t="shared" si="24"/>
        <v>258459.2605609796</v>
      </c>
      <c r="X33" s="16">
        <f t="shared" si="24"/>
        <v>229550.44547886599</v>
      </c>
      <c r="Y33" s="16">
        <f t="shared" si="24"/>
        <v>200225.42754757358</v>
      </c>
      <c r="Z33" s="16">
        <f t="shared" si="24"/>
        <v>-515902.23156804213</v>
      </c>
      <c r="AA33" s="16">
        <f t="shared" si="24"/>
        <v>1470060.5651942422</v>
      </c>
      <c r="AB33" s="16">
        <f t="shared" si="24"/>
        <v>1455632.6868150269</v>
      </c>
      <c r="AC33" s="28">
        <f>AB8</f>
        <v>13401944.149751069</v>
      </c>
    </row>
    <row r="34" spans="1:37" x14ac:dyDescent="0.45">
      <c r="A34" s="30">
        <f>IRR(F34:AD34)</f>
        <v>0.22121190052501372</v>
      </c>
      <c r="B34" s="27">
        <f t="shared" si="6"/>
        <v>8.3846650000357625E-2</v>
      </c>
      <c r="C34" s="57">
        <f>SUM(F34:AD34)</f>
        <v>25487092.924457487</v>
      </c>
      <c r="D34">
        <v>23</v>
      </c>
      <c r="E34" t="s">
        <v>82</v>
      </c>
      <c r="F34" s="16">
        <f t="shared" ref="F34:AC34" si="25">F3</f>
        <v>-4000000</v>
      </c>
      <c r="G34" s="16">
        <f t="shared" si="25"/>
        <v>1010666.0315703985</v>
      </c>
      <c r="H34" s="16">
        <f t="shared" si="25"/>
        <v>985694.9315703985</v>
      </c>
      <c r="I34" s="16">
        <f t="shared" si="25"/>
        <v>960600.53157039848</v>
      </c>
      <c r="J34" s="16">
        <f t="shared" si="25"/>
        <v>935371.46757039847</v>
      </c>
      <c r="K34" s="16">
        <f t="shared" si="25"/>
        <v>909990.69321039855</v>
      </c>
      <c r="L34" s="16">
        <f t="shared" si="25"/>
        <v>884444.7795939981</v>
      </c>
      <c r="M34" s="16">
        <f t="shared" si="25"/>
        <v>858717.61511376244</v>
      </c>
      <c r="N34" s="16">
        <f t="shared" si="25"/>
        <v>832793.70527832862</v>
      </c>
      <c r="O34" s="16">
        <f t="shared" si="25"/>
        <v>806655.77254124917</v>
      </c>
      <c r="P34" s="16">
        <f t="shared" si="25"/>
        <v>-6854.047627969645</v>
      </c>
      <c r="Q34" s="16">
        <f t="shared" si="25"/>
        <v>767307.87552229292</v>
      </c>
      <c r="R34" s="16">
        <f t="shared" si="25"/>
        <v>740424.97571913758</v>
      </c>
      <c r="S34" s="16">
        <f t="shared" si="25"/>
        <v>713255.50891401363</v>
      </c>
      <c r="T34" s="16">
        <f t="shared" si="25"/>
        <v>685781.67977694119</v>
      </c>
      <c r="U34" s="16">
        <f t="shared" si="25"/>
        <v>315123.46607409685</v>
      </c>
      <c r="V34" s="16">
        <f t="shared" si="25"/>
        <v>286976.18993685173</v>
      </c>
      <c r="W34" s="16">
        <f t="shared" si="25"/>
        <v>258459.2605609796</v>
      </c>
      <c r="X34" s="16">
        <f t="shared" si="25"/>
        <v>229550.44547886599</v>
      </c>
      <c r="Y34" s="16">
        <f t="shared" si="25"/>
        <v>200225.42754757358</v>
      </c>
      <c r="Z34" s="16">
        <f t="shared" si="25"/>
        <v>-515902.23156804213</v>
      </c>
      <c r="AA34" s="16">
        <f t="shared" si="25"/>
        <v>1470060.5651942422</v>
      </c>
      <c r="AB34" s="16">
        <f t="shared" si="25"/>
        <v>1455632.6868150269</v>
      </c>
      <c r="AC34" s="16">
        <f t="shared" si="25"/>
        <v>1441349.0872196038</v>
      </c>
      <c r="AD34" s="28">
        <f>AC8</f>
        <v>13260766.506874543</v>
      </c>
    </row>
    <row r="35" spans="1:37" x14ac:dyDescent="0.45">
      <c r="A35" s="30">
        <f>IRR(F35:AE35)</f>
        <v>0.22066382970128218</v>
      </c>
      <c r="B35" s="27">
        <f t="shared" si="6"/>
        <v>8.2436278559568477E-2</v>
      </c>
      <c r="C35" s="57">
        <f>SUM(F35:AE35)</f>
        <v>26774177.563448042</v>
      </c>
      <c r="D35">
        <v>24</v>
      </c>
      <c r="E35" t="s">
        <v>83</v>
      </c>
      <c r="F35" s="16">
        <f t="shared" ref="F35:AD35" si="26">F3</f>
        <v>-4000000</v>
      </c>
      <c r="G35" s="16">
        <f t="shared" si="26"/>
        <v>1010666.0315703985</v>
      </c>
      <c r="H35" s="16">
        <f t="shared" si="26"/>
        <v>985694.9315703985</v>
      </c>
      <c r="I35" s="16">
        <f t="shared" si="26"/>
        <v>960600.53157039848</v>
      </c>
      <c r="J35" s="16">
        <f t="shared" si="26"/>
        <v>935371.46757039847</v>
      </c>
      <c r="K35" s="16">
        <f t="shared" si="26"/>
        <v>909990.69321039855</v>
      </c>
      <c r="L35" s="16">
        <f t="shared" si="26"/>
        <v>884444.7795939981</v>
      </c>
      <c r="M35" s="16">
        <f t="shared" si="26"/>
        <v>858717.61511376244</v>
      </c>
      <c r="N35" s="16">
        <f t="shared" si="26"/>
        <v>832793.70527832862</v>
      </c>
      <c r="O35" s="16">
        <f t="shared" si="26"/>
        <v>806655.77254124917</v>
      </c>
      <c r="P35" s="16">
        <f t="shared" si="26"/>
        <v>-6854.047627969645</v>
      </c>
      <c r="Q35" s="16">
        <f t="shared" si="26"/>
        <v>767307.87552229292</v>
      </c>
      <c r="R35" s="16">
        <f t="shared" si="26"/>
        <v>740424.97571913758</v>
      </c>
      <c r="S35" s="16">
        <f t="shared" si="26"/>
        <v>713255.50891401363</v>
      </c>
      <c r="T35" s="16">
        <f t="shared" si="26"/>
        <v>685781.67977694119</v>
      </c>
      <c r="U35" s="16">
        <f t="shared" si="26"/>
        <v>315123.46607409685</v>
      </c>
      <c r="V35" s="16">
        <f t="shared" si="26"/>
        <v>286976.18993685173</v>
      </c>
      <c r="W35" s="16">
        <f t="shared" si="26"/>
        <v>258459.2605609796</v>
      </c>
      <c r="X35" s="16">
        <f t="shared" si="26"/>
        <v>229550.44547886599</v>
      </c>
      <c r="Y35" s="16">
        <f t="shared" si="26"/>
        <v>200225.42754757358</v>
      </c>
      <c r="Z35" s="16">
        <f t="shared" si="26"/>
        <v>-515902.23156804213</v>
      </c>
      <c r="AA35" s="16">
        <f t="shared" si="26"/>
        <v>1470060.5651942422</v>
      </c>
      <c r="AB35" s="16">
        <f t="shared" si="26"/>
        <v>1455632.6868150269</v>
      </c>
      <c r="AC35" s="16">
        <f t="shared" si="26"/>
        <v>1441349.0872196038</v>
      </c>
      <c r="AD35" s="16">
        <f t="shared" si="26"/>
        <v>1427208.3236201352</v>
      </c>
      <c r="AE35" s="28">
        <f>AD8</f>
        <v>13120642.822244965</v>
      </c>
    </row>
    <row r="36" spans="1:37" x14ac:dyDescent="0.45">
      <c r="A36" s="30">
        <f>IRR(F36:AF36)</f>
        <v>0.22021659123167869</v>
      </c>
      <c r="B36" s="27">
        <f t="shared" si="6"/>
        <v>8.102034114761314E-2</v>
      </c>
      <c r="C36" s="57">
        <f>SUM(F36:AF36)</f>
        <v>28048306.265139602</v>
      </c>
      <c r="D36">
        <v>25</v>
      </c>
      <c r="E36" t="s">
        <v>84</v>
      </c>
      <c r="F36" s="16">
        <f t="shared" ref="F36:AE36" si="27">F3</f>
        <v>-4000000</v>
      </c>
      <c r="G36" s="16">
        <f t="shared" si="27"/>
        <v>1010666.0315703985</v>
      </c>
      <c r="H36" s="16">
        <f t="shared" si="27"/>
        <v>985694.9315703985</v>
      </c>
      <c r="I36" s="16">
        <f t="shared" si="27"/>
        <v>960600.53157039848</v>
      </c>
      <c r="J36" s="16">
        <f t="shared" si="27"/>
        <v>935371.46757039847</v>
      </c>
      <c r="K36" s="16">
        <f t="shared" si="27"/>
        <v>909990.69321039855</v>
      </c>
      <c r="L36" s="16">
        <f t="shared" si="27"/>
        <v>884444.7795939981</v>
      </c>
      <c r="M36" s="16">
        <f t="shared" si="27"/>
        <v>858717.61511376244</v>
      </c>
      <c r="N36" s="16">
        <f t="shared" si="27"/>
        <v>832793.70527832862</v>
      </c>
      <c r="O36" s="16">
        <f t="shared" si="27"/>
        <v>806655.77254124917</v>
      </c>
      <c r="P36" s="16">
        <f t="shared" si="27"/>
        <v>-6854.047627969645</v>
      </c>
      <c r="Q36" s="16">
        <f t="shared" si="27"/>
        <v>767307.87552229292</v>
      </c>
      <c r="R36" s="16">
        <f t="shared" si="27"/>
        <v>740424.97571913758</v>
      </c>
      <c r="S36" s="16">
        <f t="shared" si="27"/>
        <v>713255.50891401363</v>
      </c>
      <c r="T36" s="16">
        <f t="shared" si="27"/>
        <v>685781.67977694119</v>
      </c>
      <c r="U36" s="16">
        <f t="shared" si="27"/>
        <v>315123.46607409685</v>
      </c>
      <c r="V36" s="16">
        <f t="shared" si="27"/>
        <v>286976.18993685173</v>
      </c>
      <c r="W36" s="16">
        <f t="shared" si="27"/>
        <v>258459.2605609796</v>
      </c>
      <c r="X36" s="16">
        <f t="shared" si="27"/>
        <v>229550.44547886599</v>
      </c>
      <c r="Y36" s="16">
        <f t="shared" si="27"/>
        <v>200225.42754757358</v>
      </c>
      <c r="Z36" s="16">
        <f t="shared" si="27"/>
        <v>-515902.23156804213</v>
      </c>
      <c r="AA36" s="16">
        <f t="shared" si="27"/>
        <v>1470060.5651942422</v>
      </c>
      <c r="AB36" s="16">
        <f t="shared" si="27"/>
        <v>1455632.6868150269</v>
      </c>
      <c r="AC36" s="16">
        <f t="shared" si="27"/>
        <v>1441349.0872196038</v>
      </c>
      <c r="AD36" s="16">
        <f t="shared" si="27"/>
        <v>1427208.3236201352</v>
      </c>
      <c r="AE36" s="16">
        <f t="shared" si="27"/>
        <v>1413208.9676566613</v>
      </c>
      <c r="AF36" s="28">
        <f>AE8</f>
        <v>12981562.556279862</v>
      </c>
    </row>
    <row r="37" spans="1:37" x14ac:dyDescent="0.45">
      <c r="A37" s="30">
        <f>IRR(F37:AG37)</f>
        <v>0.21985179664197441</v>
      </c>
      <c r="B37" s="27">
        <f t="shared" si="6"/>
        <v>7.9611019580215103E-2</v>
      </c>
      <c r="C37" s="57">
        <f>SUM(F37:AG37)</f>
        <v>29309608.588905156</v>
      </c>
      <c r="D37">
        <v>26</v>
      </c>
      <c r="E37" t="s">
        <v>85</v>
      </c>
      <c r="F37" s="16">
        <f t="shared" ref="F37:AF37" si="28">F3</f>
        <v>-4000000</v>
      </c>
      <c r="G37" s="16">
        <f t="shared" si="28"/>
        <v>1010666.0315703985</v>
      </c>
      <c r="H37" s="16">
        <f t="shared" si="28"/>
        <v>985694.9315703985</v>
      </c>
      <c r="I37" s="16">
        <f t="shared" si="28"/>
        <v>960600.53157039848</v>
      </c>
      <c r="J37" s="16">
        <f t="shared" si="28"/>
        <v>935371.46757039847</v>
      </c>
      <c r="K37" s="16">
        <f t="shared" si="28"/>
        <v>909990.69321039855</v>
      </c>
      <c r="L37" s="16">
        <f t="shared" si="28"/>
        <v>884444.7795939981</v>
      </c>
      <c r="M37" s="16">
        <f t="shared" si="28"/>
        <v>858717.61511376244</v>
      </c>
      <c r="N37" s="16">
        <f t="shared" si="28"/>
        <v>832793.70527832862</v>
      </c>
      <c r="O37" s="16">
        <f t="shared" si="28"/>
        <v>806655.77254124917</v>
      </c>
      <c r="P37" s="16">
        <f t="shared" si="28"/>
        <v>-6854.047627969645</v>
      </c>
      <c r="Q37" s="16">
        <f t="shared" si="28"/>
        <v>767307.87552229292</v>
      </c>
      <c r="R37" s="16">
        <f t="shared" si="28"/>
        <v>740424.97571913758</v>
      </c>
      <c r="S37" s="16">
        <f t="shared" si="28"/>
        <v>713255.50891401363</v>
      </c>
      <c r="T37" s="16">
        <f t="shared" si="28"/>
        <v>685781.67977694119</v>
      </c>
      <c r="U37" s="16">
        <f t="shared" si="28"/>
        <v>315123.46607409685</v>
      </c>
      <c r="V37" s="16">
        <f t="shared" si="28"/>
        <v>286976.18993685173</v>
      </c>
      <c r="W37" s="16">
        <f t="shared" si="28"/>
        <v>258459.2605609796</v>
      </c>
      <c r="X37" s="16">
        <f t="shared" si="28"/>
        <v>229550.44547886599</v>
      </c>
      <c r="Y37" s="16">
        <f t="shared" si="28"/>
        <v>200225.42754757358</v>
      </c>
      <c r="Z37" s="16">
        <f t="shared" si="28"/>
        <v>-515902.23156804213</v>
      </c>
      <c r="AA37" s="16">
        <f t="shared" si="28"/>
        <v>1470060.5651942422</v>
      </c>
      <c r="AB37" s="16">
        <f t="shared" si="28"/>
        <v>1455632.6868150269</v>
      </c>
      <c r="AC37" s="16">
        <f t="shared" si="28"/>
        <v>1441349.0872196038</v>
      </c>
      <c r="AD37" s="16">
        <f t="shared" si="28"/>
        <v>1427208.3236201352</v>
      </c>
      <c r="AE37" s="16">
        <f t="shared" si="28"/>
        <v>1413208.9676566613</v>
      </c>
      <c r="AF37" s="16">
        <f t="shared" si="28"/>
        <v>1399349.6052528217</v>
      </c>
      <c r="AG37" s="28">
        <f>AF8</f>
        <v>12843515.274792595</v>
      </c>
    </row>
    <row r="38" spans="1:37" x14ac:dyDescent="0.45">
      <c r="A38" s="30">
        <f>IRR(F38:AH38)</f>
        <v>0.21955439400034749</v>
      </c>
      <c r="B38" s="27">
        <f t="shared" si="6"/>
        <v>7.8217113597281562E-2</v>
      </c>
      <c r="C38" s="57">
        <f>SUM(F38:AH38)</f>
        <v>30558212.798523962</v>
      </c>
      <c r="D38">
        <v>27</v>
      </c>
      <c r="E38" t="s">
        <v>86</v>
      </c>
      <c r="F38" s="16">
        <f t="shared" ref="F38:AG38" si="29">F3</f>
        <v>-4000000</v>
      </c>
      <c r="G38" s="16">
        <f t="shared" si="29"/>
        <v>1010666.0315703985</v>
      </c>
      <c r="H38" s="16">
        <f t="shared" si="29"/>
        <v>985694.9315703985</v>
      </c>
      <c r="I38" s="16">
        <f t="shared" si="29"/>
        <v>960600.53157039848</v>
      </c>
      <c r="J38" s="16">
        <f t="shared" si="29"/>
        <v>935371.46757039847</v>
      </c>
      <c r="K38" s="16">
        <f t="shared" si="29"/>
        <v>909990.69321039855</v>
      </c>
      <c r="L38" s="16">
        <f t="shared" si="29"/>
        <v>884444.7795939981</v>
      </c>
      <c r="M38" s="16">
        <f t="shared" si="29"/>
        <v>858717.61511376244</v>
      </c>
      <c r="N38" s="16">
        <f t="shared" si="29"/>
        <v>832793.70527832862</v>
      </c>
      <c r="O38" s="16">
        <f t="shared" si="29"/>
        <v>806655.77254124917</v>
      </c>
      <c r="P38" s="16">
        <f t="shared" si="29"/>
        <v>-6854.047627969645</v>
      </c>
      <c r="Q38" s="16">
        <f t="shared" si="29"/>
        <v>767307.87552229292</v>
      </c>
      <c r="R38" s="16">
        <f t="shared" si="29"/>
        <v>740424.97571913758</v>
      </c>
      <c r="S38" s="16">
        <f t="shared" si="29"/>
        <v>713255.50891401363</v>
      </c>
      <c r="T38" s="16">
        <f t="shared" si="29"/>
        <v>685781.67977694119</v>
      </c>
      <c r="U38" s="16">
        <f t="shared" si="29"/>
        <v>315123.46607409685</v>
      </c>
      <c r="V38" s="16">
        <f t="shared" si="29"/>
        <v>286976.18993685173</v>
      </c>
      <c r="W38" s="16">
        <f t="shared" si="29"/>
        <v>258459.2605609796</v>
      </c>
      <c r="X38" s="16">
        <f t="shared" si="29"/>
        <v>229550.44547886599</v>
      </c>
      <c r="Y38" s="16">
        <f t="shared" si="29"/>
        <v>200225.42754757358</v>
      </c>
      <c r="Z38" s="16">
        <f t="shared" si="29"/>
        <v>-515902.23156804213</v>
      </c>
      <c r="AA38" s="16">
        <f t="shared" si="29"/>
        <v>1470060.5651942422</v>
      </c>
      <c r="AB38" s="16">
        <f t="shared" si="29"/>
        <v>1455632.6868150269</v>
      </c>
      <c r="AC38" s="16">
        <f t="shared" si="29"/>
        <v>1441349.0872196038</v>
      </c>
      <c r="AD38" s="16">
        <f t="shared" si="29"/>
        <v>1427208.3236201352</v>
      </c>
      <c r="AE38" s="16">
        <f t="shared" si="29"/>
        <v>1413208.9676566613</v>
      </c>
      <c r="AF38" s="16">
        <f t="shared" si="29"/>
        <v>1399349.6052528217</v>
      </c>
      <c r="AG38" s="16">
        <f t="shared" si="29"/>
        <v>1385628.8364730207</v>
      </c>
      <c r="AH38" s="28">
        <f>AG8</f>
        <v>12706490.647938382</v>
      </c>
    </row>
    <row r="39" spans="1:37" x14ac:dyDescent="0.45">
      <c r="A39" s="30">
        <f>IRR(F39:AI39)</f>
        <v>0.21931205681402943</v>
      </c>
      <c r="B39" s="27">
        <f t="shared" si="6"/>
        <v>7.6844916092910998E-2</v>
      </c>
      <c r="C39" s="57">
        <f>SUM(F39:AI39)</f>
        <v>31794245.875137493</v>
      </c>
      <c r="D39">
        <v>28</v>
      </c>
      <c r="E39" t="s">
        <v>87</v>
      </c>
      <c r="F39" s="16">
        <f t="shared" ref="F39:AH39" si="30">F3</f>
        <v>-4000000</v>
      </c>
      <c r="G39" s="16">
        <f t="shared" si="30"/>
        <v>1010666.0315703985</v>
      </c>
      <c r="H39" s="16">
        <f t="shared" si="30"/>
        <v>985694.9315703985</v>
      </c>
      <c r="I39" s="16">
        <f t="shared" si="30"/>
        <v>960600.53157039848</v>
      </c>
      <c r="J39" s="16">
        <f t="shared" si="30"/>
        <v>935371.46757039847</v>
      </c>
      <c r="K39" s="16">
        <f t="shared" si="30"/>
        <v>909990.69321039855</v>
      </c>
      <c r="L39" s="16">
        <f t="shared" si="30"/>
        <v>884444.7795939981</v>
      </c>
      <c r="M39" s="16">
        <f t="shared" si="30"/>
        <v>858717.61511376244</v>
      </c>
      <c r="N39" s="16">
        <f t="shared" si="30"/>
        <v>832793.70527832862</v>
      </c>
      <c r="O39" s="16">
        <f t="shared" si="30"/>
        <v>806655.77254124917</v>
      </c>
      <c r="P39" s="16">
        <f t="shared" si="30"/>
        <v>-6854.047627969645</v>
      </c>
      <c r="Q39" s="16">
        <f t="shared" si="30"/>
        <v>767307.87552229292</v>
      </c>
      <c r="R39" s="16">
        <f t="shared" si="30"/>
        <v>740424.97571913758</v>
      </c>
      <c r="S39" s="16">
        <f t="shared" si="30"/>
        <v>713255.50891401363</v>
      </c>
      <c r="T39" s="16">
        <f t="shared" si="30"/>
        <v>685781.67977694119</v>
      </c>
      <c r="U39" s="16">
        <f t="shared" si="30"/>
        <v>315123.46607409685</v>
      </c>
      <c r="V39" s="16">
        <f t="shared" si="30"/>
        <v>286976.18993685173</v>
      </c>
      <c r="W39" s="16">
        <f t="shared" si="30"/>
        <v>258459.2605609796</v>
      </c>
      <c r="X39" s="16">
        <f t="shared" si="30"/>
        <v>229550.44547886599</v>
      </c>
      <c r="Y39" s="16">
        <f t="shared" si="30"/>
        <v>200225.42754757358</v>
      </c>
      <c r="Z39" s="16">
        <f t="shared" si="30"/>
        <v>-515902.23156804213</v>
      </c>
      <c r="AA39" s="16">
        <f t="shared" si="30"/>
        <v>1470060.5651942422</v>
      </c>
      <c r="AB39" s="16">
        <f t="shared" si="30"/>
        <v>1455632.6868150269</v>
      </c>
      <c r="AC39" s="16">
        <f t="shared" si="30"/>
        <v>1441349.0872196038</v>
      </c>
      <c r="AD39" s="16">
        <f t="shared" si="30"/>
        <v>1427208.3236201352</v>
      </c>
      <c r="AE39" s="16">
        <f t="shared" si="30"/>
        <v>1413208.9676566613</v>
      </c>
      <c r="AF39" s="16">
        <f t="shared" si="30"/>
        <v>1399349.6052528217</v>
      </c>
      <c r="AG39" s="16">
        <f t="shared" si="30"/>
        <v>1385628.8364730207</v>
      </c>
      <c r="AH39" s="16">
        <f t="shared" si="30"/>
        <v>1372045.2753810179</v>
      </c>
      <c r="AI39" s="28">
        <f>AH8</f>
        <v>12570478.449170893</v>
      </c>
    </row>
    <row r="40" spans="1:37" x14ac:dyDescent="0.45">
      <c r="A40" s="30">
        <f>IRR(F40:AJ40)</f>
        <v>0.21911469012499896</v>
      </c>
      <c r="B40" s="27">
        <f t="shared" si="6"/>
        <v>7.54988518982882E-2</v>
      </c>
      <c r="C40" s="57">
        <f>SUM(F40:AJ40)</f>
        <v>33017833.530075796</v>
      </c>
      <c r="D40">
        <v>29</v>
      </c>
      <c r="E40" t="s">
        <v>88</v>
      </c>
      <c r="F40" s="16">
        <f t="shared" ref="F40:AI40" si="31">F3</f>
        <v>-4000000</v>
      </c>
      <c r="G40" s="16">
        <f t="shared" si="31"/>
        <v>1010666.0315703985</v>
      </c>
      <c r="H40" s="16">
        <f t="shared" si="31"/>
        <v>985694.9315703985</v>
      </c>
      <c r="I40" s="16">
        <f t="shared" si="31"/>
        <v>960600.53157039848</v>
      </c>
      <c r="J40" s="16">
        <f t="shared" si="31"/>
        <v>935371.46757039847</v>
      </c>
      <c r="K40" s="16">
        <f t="shared" si="31"/>
        <v>909990.69321039855</v>
      </c>
      <c r="L40" s="16">
        <f t="shared" si="31"/>
        <v>884444.7795939981</v>
      </c>
      <c r="M40" s="16">
        <f t="shared" si="31"/>
        <v>858717.61511376244</v>
      </c>
      <c r="N40" s="16">
        <f t="shared" si="31"/>
        <v>832793.70527832862</v>
      </c>
      <c r="O40" s="16">
        <f t="shared" si="31"/>
        <v>806655.77254124917</v>
      </c>
      <c r="P40" s="16">
        <f t="shared" si="31"/>
        <v>-6854.047627969645</v>
      </c>
      <c r="Q40" s="16">
        <f t="shared" si="31"/>
        <v>767307.87552229292</v>
      </c>
      <c r="R40" s="16">
        <f t="shared" si="31"/>
        <v>740424.97571913758</v>
      </c>
      <c r="S40" s="16">
        <f t="shared" si="31"/>
        <v>713255.50891401363</v>
      </c>
      <c r="T40" s="16">
        <f t="shared" si="31"/>
        <v>685781.67977694119</v>
      </c>
      <c r="U40" s="16">
        <f t="shared" si="31"/>
        <v>315123.46607409685</v>
      </c>
      <c r="V40" s="16">
        <f t="shared" si="31"/>
        <v>286976.18993685173</v>
      </c>
      <c r="W40" s="16">
        <f t="shared" si="31"/>
        <v>258459.2605609796</v>
      </c>
      <c r="X40" s="16">
        <f t="shared" si="31"/>
        <v>229550.44547886599</v>
      </c>
      <c r="Y40" s="16">
        <f t="shared" si="31"/>
        <v>200225.42754757358</v>
      </c>
      <c r="Z40" s="16">
        <f t="shared" si="31"/>
        <v>-515902.23156804213</v>
      </c>
      <c r="AA40" s="16">
        <f t="shared" si="31"/>
        <v>1470060.5651942422</v>
      </c>
      <c r="AB40" s="16">
        <f t="shared" si="31"/>
        <v>1455632.6868150269</v>
      </c>
      <c r="AC40" s="16">
        <f t="shared" si="31"/>
        <v>1441349.0872196038</v>
      </c>
      <c r="AD40" s="16">
        <f t="shared" si="31"/>
        <v>1427208.3236201352</v>
      </c>
      <c r="AE40" s="16">
        <f t="shared" si="31"/>
        <v>1413208.9676566613</v>
      </c>
      <c r="AF40" s="16">
        <f t="shared" si="31"/>
        <v>1399349.6052528217</v>
      </c>
      <c r="AG40" s="16">
        <f t="shared" si="31"/>
        <v>1385628.8364730207</v>
      </c>
      <c r="AH40" s="16">
        <f t="shared" si="31"/>
        <v>1372045.2753810179</v>
      </c>
      <c r="AI40" s="16">
        <f t="shared" si="31"/>
        <v>1358597.5498999348</v>
      </c>
      <c r="AJ40" s="28">
        <f>AI8</f>
        <v>12435468.55420926</v>
      </c>
    </row>
    <row r="41" spans="1:37" x14ac:dyDescent="0.45">
      <c r="A41" s="30">
        <f>IRR(F41:AK41)</f>
        <v>0.21889298950949154</v>
      </c>
      <c r="B41" s="27">
        <f t="shared" si="6"/>
        <v>7.3855547507780006E-2</v>
      </c>
      <c r="C41" s="57">
        <f>SUM(F41:AK41)</f>
        <v>33918445.672101073</v>
      </c>
      <c r="D41">
        <v>30</v>
      </c>
      <c r="E41" t="s">
        <v>89</v>
      </c>
      <c r="F41" s="16">
        <f t="shared" ref="F41:AJ41" si="32">F3</f>
        <v>-4000000</v>
      </c>
      <c r="G41" s="16">
        <f t="shared" si="32"/>
        <v>1010666.0315703985</v>
      </c>
      <c r="H41" s="16">
        <f t="shared" si="32"/>
        <v>985694.9315703985</v>
      </c>
      <c r="I41" s="16">
        <f t="shared" si="32"/>
        <v>960600.53157039848</v>
      </c>
      <c r="J41" s="16">
        <f t="shared" si="32"/>
        <v>935371.46757039847</v>
      </c>
      <c r="K41" s="16">
        <f t="shared" si="32"/>
        <v>909990.69321039855</v>
      </c>
      <c r="L41" s="16">
        <f t="shared" si="32"/>
        <v>884444.7795939981</v>
      </c>
      <c r="M41" s="16">
        <f t="shared" si="32"/>
        <v>858717.61511376244</v>
      </c>
      <c r="N41" s="16">
        <f t="shared" si="32"/>
        <v>832793.70527832862</v>
      </c>
      <c r="O41" s="16">
        <f t="shared" si="32"/>
        <v>806655.77254124917</v>
      </c>
      <c r="P41" s="16">
        <f t="shared" si="32"/>
        <v>-6854.047627969645</v>
      </c>
      <c r="Q41" s="16">
        <f t="shared" si="32"/>
        <v>767307.87552229292</v>
      </c>
      <c r="R41" s="16">
        <f t="shared" si="32"/>
        <v>740424.97571913758</v>
      </c>
      <c r="S41" s="16">
        <f t="shared" si="32"/>
        <v>713255.50891401363</v>
      </c>
      <c r="T41" s="16">
        <f t="shared" si="32"/>
        <v>685781.67977694119</v>
      </c>
      <c r="U41" s="16">
        <f t="shared" si="32"/>
        <v>315123.46607409685</v>
      </c>
      <c r="V41" s="16">
        <f t="shared" si="32"/>
        <v>286976.18993685173</v>
      </c>
      <c r="W41" s="16">
        <f t="shared" si="32"/>
        <v>258459.2605609796</v>
      </c>
      <c r="X41" s="16">
        <f t="shared" si="32"/>
        <v>229550.44547886599</v>
      </c>
      <c r="Y41" s="16">
        <f t="shared" si="32"/>
        <v>200225.42754757358</v>
      </c>
      <c r="Z41" s="16">
        <f t="shared" si="32"/>
        <v>-515902.23156804213</v>
      </c>
      <c r="AA41" s="16">
        <f t="shared" si="32"/>
        <v>1470060.5651942422</v>
      </c>
      <c r="AB41" s="16">
        <f t="shared" si="32"/>
        <v>1455632.6868150269</v>
      </c>
      <c r="AC41" s="16">
        <f t="shared" si="32"/>
        <v>1441349.0872196038</v>
      </c>
      <c r="AD41" s="16">
        <f t="shared" si="32"/>
        <v>1427208.3236201352</v>
      </c>
      <c r="AE41" s="16">
        <f t="shared" si="32"/>
        <v>1413208.9676566613</v>
      </c>
      <c r="AF41" s="16">
        <f t="shared" si="32"/>
        <v>1399349.6052528217</v>
      </c>
      <c r="AG41" s="16">
        <f t="shared" si="32"/>
        <v>1385628.8364730207</v>
      </c>
      <c r="AH41" s="16">
        <f t="shared" si="32"/>
        <v>1372045.2753810179</v>
      </c>
      <c r="AI41" s="16">
        <f t="shared" si="32"/>
        <v>1358597.5498999348</v>
      </c>
      <c r="AJ41" s="16">
        <f t="shared" si="32"/>
        <v>658920.66531002638</v>
      </c>
      <c r="AK41" s="28">
        <f>AJ8</f>
        <v>12677160.030924516</v>
      </c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利回り</vt:lpstr>
      <vt:lpstr>年推移</vt:lpstr>
      <vt:lpstr>ローン計算</vt:lpstr>
      <vt:lpstr>IRR計算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原口秀昭</dc:creator>
  <cp:lastModifiedBy>原口秀昭</cp:lastModifiedBy>
  <dcterms:created xsi:type="dcterms:W3CDTF">2020-09-07T01:27:12Z</dcterms:created>
  <dcterms:modified xsi:type="dcterms:W3CDTF">2020-10-29T02:53:44Z</dcterms:modified>
</cp:coreProperties>
</file>